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drawings/drawing5.xml" ContentType="application/vnd.openxmlformats-officedocument.drawing+xml"/>
  <Override PartName="/xl/comments6.xml" ContentType="application/vnd.openxmlformats-officedocument.spreadsheetml.comments+xml"/>
  <Override PartName="/xl/drawings/drawing6.xml" ContentType="application/vnd.openxmlformats-officedocument.drawing+xml"/>
  <Override PartName="/xl/comments7.xml" ContentType="application/vnd.openxmlformats-officedocument.spreadsheetml.comments+xml"/>
  <Override PartName="/xl/drawings/drawing7.xml" ContentType="application/vnd.openxmlformats-officedocument.drawing+xml"/>
  <Override PartName="/xl/comments8.xml" ContentType="application/vnd.openxmlformats-officedocument.spreadsheetml.comments+xml"/>
  <Override PartName="/xl/drawings/drawing8.xml" ContentType="application/vnd.openxmlformats-officedocument.drawing+xml"/>
  <Override PartName="/xl/comments9.xml" ContentType="application/vnd.openxmlformats-officedocument.spreadsheetml.comments+xml"/>
  <Override PartName="/xl/drawings/drawing9.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10.xml" ContentType="application/vnd.openxmlformats-officedocument.drawing+xml"/>
  <Override PartName="/xl/drawings/drawing1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328"/>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486F9E99-0DA6-4D96-8A2F-0D7BD0668F43}" xr6:coauthVersionLast="47" xr6:coauthVersionMax="47" xr10:uidLastSave="{00000000-0000-0000-0000-000000000000}"/>
  <bookViews>
    <workbookView xWindow="-108" yWindow="-108" windowWidth="23256" windowHeight="12456" tabRatio="901" firstSheet="1" activeTab="5"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Compressor"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Compressor"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36" i="169" l="1"/>
  <c r="U35" i="169"/>
  <c r="U34" i="169"/>
  <c r="U33" i="169"/>
  <c r="U32" i="169"/>
  <c r="U31" i="169"/>
  <c r="U30" i="169"/>
  <c r="U29" i="169"/>
  <c r="U28" i="169"/>
  <c r="U27" i="169"/>
  <c r="U26" i="169"/>
  <c r="U25" i="169"/>
  <c r="U24" i="169"/>
  <c r="U23" i="169"/>
  <c r="U22" i="169"/>
  <c r="U21" i="169"/>
  <c r="U20" i="169"/>
  <c r="U19" i="169"/>
  <c r="U18" i="169"/>
  <c r="U17" i="169"/>
  <c r="U16" i="169"/>
  <c r="U14" i="169"/>
  <c r="U15" i="169"/>
  <c r="U13" i="169"/>
  <c r="Z25" i="169"/>
  <c r="Z29" i="169" s="1"/>
  <c r="Z33" i="169" s="1"/>
  <c r="Z21" i="169"/>
  <c r="Z17" i="169"/>
  <c r="Y68" i="171" l="1"/>
  <c r="X60" i="172" l="1"/>
  <c r="X58" i="172"/>
  <c r="X56" i="172"/>
  <c r="Y66" i="171"/>
  <c r="Y64" i="171"/>
  <c r="Q24" i="162"/>
  <c r="Q22" i="162"/>
  <c r="Q20" i="162"/>
  <c r="N14" i="149"/>
  <c r="M14" i="149"/>
  <c r="H14" i="149" l="1"/>
  <c r="AD49" i="173" l="1"/>
  <c r="AD47" i="173"/>
  <c r="X46" i="173"/>
  <c r="AD45" i="173"/>
  <c r="K67" i="173" l="1"/>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86" i="154"/>
  <c r="T87" i="154"/>
  <c r="T88" i="154"/>
  <c r="T89" i="154"/>
  <c r="T90" i="154"/>
  <c r="T91" i="154"/>
  <c r="T92" i="154"/>
  <c r="T93" i="154"/>
  <c r="K87" i="154" s="1"/>
  <c r="T94" i="154"/>
  <c r="T95" i="154"/>
  <c r="T96" i="154"/>
  <c r="T97" i="154"/>
  <c r="T98" i="154"/>
  <c r="K88" i="154" s="1"/>
  <c r="T99" i="154"/>
  <c r="T100" i="154"/>
  <c r="T101" i="154"/>
  <c r="T102" i="154"/>
  <c r="T103" i="154"/>
  <c r="K89" i="154" s="1"/>
  <c r="T104" i="154"/>
  <c r="T105" i="154"/>
  <c r="T106" i="154"/>
  <c r="T107" i="154"/>
  <c r="T108" i="154"/>
  <c r="K90" i="154" s="1"/>
  <c r="T109" i="154"/>
  <c r="T110" i="154"/>
  <c r="T111" i="154"/>
  <c r="T112" i="154"/>
  <c r="T113" i="154"/>
  <c r="K91" i="154" s="1"/>
  <c r="T85" i="154"/>
  <c r="I16" i="156" l="1"/>
  <c r="I17" i="156" s="1"/>
  <c r="I13" i="156"/>
  <c r="F16" i="156"/>
  <c r="F17" i="156" s="1"/>
  <c r="F13" i="156"/>
  <c r="I12" i="157"/>
  <c r="I15" i="157"/>
  <c r="I16" i="157" s="1"/>
  <c r="I18" i="157" s="1"/>
  <c r="D17" i="147"/>
  <c r="E17" i="147"/>
  <c r="C17" i="147"/>
  <c r="J11" i="147"/>
  <c r="L12" i="157"/>
  <c r="L15" i="157"/>
  <c r="L16" i="157" s="1"/>
  <c r="L18" i="157" s="1"/>
  <c r="U22" i="172" l="1"/>
  <c r="U19" i="172"/>
  <c r="U16" i="172"/>
  <c r="U13" i="172"/>
  <c r="P43" i="172"/>
  <c r="S44" i="172" s="1"/>
  <c r="S45" i="172" s="1"/>
  <c r="V47" i="172" s="1"/>
  <c r="Z43" i="172" s="1"/>
  <c r="W42" i="172"/>
  <c r="P23" i="172"/>
  <c r="O24" i="172"/>
  <c r="O23" i="172"/>
  <c r="V22" i="172"/>
  <c r="T22" i="172"/>
  <c r="Q22" i="172"/>
  <c r="N22" i="172"/>
  <c r="P20" i="172"/>
  <c r="O21" i="172"/>
  <c r="O20" i="172"/>
  <c r="V19" i="172"/>
  <c r="T19" i="172"/>
  <c r="Q19" i="172"/>
  <c r="N19" i="172"/>
  <c r="P17" i="172"/>
  <c r="O18" i="172"/>
  <c r="O17" i="172"/>
  <c r="V16" i="172"/>
  <c r="T16" i="172"/>
  <c r="Q16" i="172"/>
  <c r="N16" i="172"/>
  <c r="P14" i="172"/>
  <c r="O15" i="172"/>
  <c r="O14" i="172"/>
  <c r="V13" i="172"/>
  <c r="T13" i="172"/>
  <c r="Q13" i="172"/>
  <c r="N13" i="172"/>
  <c r="U49" i="171"/>
  <c r="R53" i="171" s="1"/>
  <c r="M26" i="171"/>
  <c r="L25" i="171"/>
  <c r="L24" i="171"/>
  <c r="Q23" i="171"/>
  <c r="N23" i="171"/>
  <c r="L23" i="171"/>
  <c r="M22" i="171"/>
  <c r="L21" i="171"/>
  <c r="L20" i="171"/>
  <c r="Q19" i="171"/>
  <c r="O19" i="171"/>
  <c r="O23" i="171" s="1"/>
  <c r="N19" i="171"/>
  <c r="L19" i="171"/>
  <c r="M18" i="171"/>
  <c r="L17" i="171"/>
  <c r="L16" i="171"/>
  <c r="Q15" i="171"/>
  <c r="O15" i="171"/>
  <c r="N15" i="171"/>
  <c r="L15" i="171"/>
  <c r="M14" i="171"/>
  <c r="L13" i="171"/>
  <c r="L12" i="171"/>
  <c r="Q11" i="171"/>
  <c r="N11" i="171"/>
  <c r="L11" i="171"/>
  <c r="U33" i="170"/>
  <c r="N20" i="170"/>
  <c r="M20" i="170"/>
  <c r="S19" i="170"/>
  <c r="R19" i="170"/>
  <c r="O19" i="170"/>
  <c r="M19" i="170"/>
  <c r="N18" i="170"/>
  <c r="M18" i="170"/>
  <c r="S17" i="170"/>
  <c r="R17" i="170"/>
  <c r="O17" i="170"/>
  <c r="M17" i="170"/>
  <c r="N16" i="170"/>
  <c r="M16" i="170"/>
  <c r="S15" i="170"/>
  <c r="R15" i="170"/>
  <c r="O15" i="170"/>
  <c r="M15" i="170"/>
  <c r="N14" i="170"/>
  <c r="M14" i="170"/>
  <c r="S13" i="170"/>
  <c r="R13" i="170"/>
  <c r="O13" i="170"/>
  <c r="M13" i="170"/>
  <c r="P31" i="150"/>
  <c r="Q34" i="152"/>
  <c r="Q35" i="152" s="1"/>
  <c r="S33" i="152" s="1"/>
  <c r="P53" i="148" l="1"/>
  <c r="P54" i="148" s="1"/>
  <c r="R52" i="148" s="1"/>
  <c r="K15" i="152"/>
  <c r="S30" i="143"/>
  <c r="S32" i="143" s="1"/>
  <c r="S25" i="143"/>
  <c r="P27" i="143" s="1"/>
  <c r="Z13" i="169"/>
  <c r="AK37" i="169"/>
  <c r="AJ35" i="169"/>
  <c r="AL52" i="169"/>
  <c r="AL53" i="169"/>
  <c r="AL54" i="169"/>
  <c r="AL51" i="169"/>
  <c r="S35" i="143" l="1"/>
  <c r="K13" i="143"/>
  <c r="K12" i="143"/>
  <c r="K11" i="143"/>
  <c r="K10" i="143"/>
  <c r="AF11" i="159"/>
  <c r="AB9" i="159"/>
  <c r="O35" i="160"/>
  <c r="O34" i="160"/>
  <c r="I122" i="154" l="1"/>
  <c r="I124" i="154" s="1"/>
  <c r="K108" i="154" l="1"/>
  <c r="K110" i="154" s="1"/>
  <c r="I56" i="154"/>
  <c r="T15" i="167" l="1"/>
  <c r="T14" i="167"/>
  <c r="T13" i="167"/>
  <c r="T12" i="167"/>
  <c r="S15" i="167"/>
  <c r="S14" i="167"/>
  <c r="S13" i="167"/>
  <c r="S12" i="167"/>
  <c r="R15" i="167"/>
  <c r="R14" i="167"/>
  <c r="R13" i="167"/>
  <c r="R12" i="167"/>
  <c r="E29" i="168"/>
  <c r="D29" i="168"/>
  <c r="C29" i="168"/>
  <c r="B29" i="168"/>
  <c r="E28" i="168"/>
  <c r="D28" i="168"/>
  <c r="C28" i="168"/>
  <c r="B28" i="168"/>
  <c r="R20" i="152" l="1"/>
  <c r="R18" i="152"/>
  <c r="R16" i="152"/>
  <c r="R14" i="152"/>
  <c r="Q20" i="152"/>
  <c r="Q18" i="152"/>
  <c r="Q16" i="152"/>
  <c r="Q14" i="152"/>
  <c r="P20" i="152"/>
  <c r="P18" i="152"/>
  <c r="P16" i="152"/>
  <c r="P14" i="152"/>
  <c r="P13" i="162"/>
  <c r="J14" i="152" l="1"/>
  <c r="L15" i="152"/>
  <c r="M20" i="152" l="1"/>
  <c r="M18" i="152"/>
  <c r="M16" i="152"/>
  <c r="M14" i="152"/>
  <c r="L17" i="152"/>
  <c r="L19" i="152" s="1"/>
  <c r="L21" i="152" s="1"/>
  <c r="K17" i="152"/>
  <c r="K19" i="152" s="1"/>
  <c r="K21" i="152" s="1"/>
  <c r="J16" i="152"/>
  <c r="J18" i="152" s="1"/>
  <c r="J20" i="152" s="1"/>
  <c r="N16" i="152"/>
  <c r="N18" i="152" s="1"/>
  <c r="N20" i="152" s="1"/>
  <c r="F18" i="152"/>
  <c r="F20" i="152" s="1"/>
  <c r="E18" i="152"/>
  <c r="E20" i="152" s="1"/>
  <c r="R39" i="148"/>
  <c r="R36" i="148"/>
  <c r="R33" i="148"/>
  <c r="R30" i="148"/>
  <c r="J16" i="150"/>
  <c r="I16" i="150"/>
  <c r="J15" i="150"/>
  <c r="I15" i="150"/>
  <c r="J12" i="150"/>
  <c r="I12" i="150"/>
  <c r="J11" i="150"/>
  <c r="I11" i="150"/>
  <c r="J10" i="150"/>
  <c r="I10" i="150"/>
  <c r="D7" i="150"/>
  <c r="F7" i="150" s="1"/>
  <c r="E7" i="150" l="1"/>
  <c r="R28" i="148" l="1"/>
  <c r="R26" i="148"/>
  <c r="R24" i="148"/>
  <c r="R22" i="148"/>
  <c r="M13" i="143"/>
  <c r="M17" i="143" s="1"/>
  <c r="M12" i="143"/>
  <c r="M16" i="143" s="1"/>
  <c r="M11" i="143"/>
  <c r="M15" i="143" s="1"/>
  <c r="M10" i="143"/>
  <c r="M14" i="143" s="1"/>
  <c r="L13" i="143"/>
  <c r="L17" i="143" s="1"/>
  <c r="L12" i="143"/>
  <c r="L16" i="143" s="1"/>
  <c r="L11" i="143"/>
  <c r="L15" i="143" s="1"/>
  <c r="L10" i="143"/>
  <c r="L14" i="143" s="1"/>
  <c r="K17" i="143"/>
  <c r="K16" i="143"/>
  <c r="K15" i="143"/>
  <c r="K14" i="143"/>
  <c r="M10" i="140" l="1"/>
  <c r="N10" i="140"/>
  <c r="O10" i="140" s="1"/>
  <c r="K10" i="142"/>
  <c r="I10" i="142"/>
  <c r="J10" i="142" s="1"/>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41"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41"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41"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41"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41"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Q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U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V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W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X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2C7C3A9F-82FB-4394-BCA7-6888A9CAC0AB}">
      <text>
        <r>
          <rPr>
            <sz val="8"/>
            <color indexed="81"/>
            <rFont val="Tahoma"/>
            <family val="2"/>
          </rPr>
          <t>Comm-IN-A 
indicates an auxillary input, thus not consider with respect the efficiency</t>
        </r>
      </text>
    </comment>
    <comment ref="V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W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X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Q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<sst xmlns="http://schemas.openxmlformats.org/spreadsheetml/2006/main" count="3487" uniqueCount="901">
  <si>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</si>
  <si>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</si>
  <si>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</si>
  <si>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</si>
  <si>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</si>
  <si>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</si>
  <si>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</si>
  <si>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</si>
  <si>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</si>
  <si>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</si>
  <si>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</si>
  <si>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</si>
  <si>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</si>
  <si>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</si>
  <si>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</si>
  <si>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</si>
  <si>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</si>
  <si>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</si>
  <si>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</si>
  <si>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</si>
  <si>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</si>
  <si>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</si>
  <si>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</si>
  <si>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</si>
  <si>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</si>
  <si>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</si>
  <si>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</si>
  <si>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</si>
  <si>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</si>
  <si>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</si>
  <si>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</si>
  <si>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</si>
  <si>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</si>
  <si>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</si>
  <si>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</si>
  <si>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</si>
  <si>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</si>
  <si>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</si>
  <si>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</si>
  <si>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</si>
  <si>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</si>
  <si>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</si>
  <si>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</si>
  <si>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</si>
  <si>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</si>
  <si>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</si>
  <si>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</si>
  <si>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</si>
  <si>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</si>
  <si>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</si>
  <si>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</si>
  <si>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</si>
  <si>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</si>
  <si>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</si>
  <si>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</si>
  <si>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</si>
  <si>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</si>
  <si>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</si>
  <si>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</si>
  <si>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</si>
  <si>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</si>
  <si>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</si>
  <si>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</si>
  <si>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</si>
  <si>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</si>
  <si>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</si>
  <si>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</si>
  <si>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</si>
  <si>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</si>
  <si>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</si>
  <si>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</si>
  <si>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</si>
  <si>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</si>
  <si>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</si>
  <si>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</si>
  <si>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</si>
  <si>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</si>
  <si>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</si>
  <si>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</si>
  <si>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</si>
  <si>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</si>
  <si>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</si>
  <si>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</si>
  <si>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</si>
  <si>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</si>
  <si>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</si>
  <si>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</si>
  <si>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</si>
  <si>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</si>
  <si>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</si>
  <si>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</si>
  <si>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</si>
  <si>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</si>
  <si>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</si>
  <si>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</si>
  <si>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</si>
  <si>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</si>
  <si>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</si>
  <si>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</si>
  <si>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</si>
  <si>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</si>
  <si>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</si>
  <si>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</si>
  <si>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</si>
  <si>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</si>
  <si>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</si>
  <si>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</si>
  <si>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</si>
  <si>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</si>
  <si>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</si>
  <si>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</si>
  <si>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</si>
  <si>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</si>
  <si>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</si>
  <si>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</si>
  <si>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</si>
  <si>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</si>
  <si>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</si>
  <si>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</si>
  <si>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</si>
  <si>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</si>
  <si>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</si>
  <si>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H2</t>
  </si>
  <si>
    <t xml:space="preserve">Hydrogen </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</si>
  <si>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</si>
  <si>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</si>
  <si>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</si>
  <si>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</si>
  <si>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</si>
  <si>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</si>
  <si>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</si>
  <si>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</si>
  <si>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</si>
  <si>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</si>
  <si>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</si>
  <si>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</si>
  <si>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</si>
  <si>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</si>
  <si>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</si>
  <si>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</si>
  <si>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</si>
  <si>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</si>
  <si>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</si>
  <si>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</si>
  <si>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</si>
  <si>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</si>
  <si>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</si>
  <si>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</si>
  <si>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</si>
  <si>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</si>
  <si>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</si>
  <si>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</si>
  <si>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</si>
  <si>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</si>
  <si>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</si>
  <si>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</si>
  <si>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</si>
  <si>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</si>
  <si>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</si>
  <si>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</si>
  <si>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</si>
  <si>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</si>
  <si>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</si>
  <si>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t>
  </si>
  <si>
    <t>DAYNITE</t>
  </si>
  <si>
    <t>PJ/GW</t>
  </si>
  <si>
    <t xml:space="preserve"> Meur/GW H2</t>
  </si>
  <si>
    <t xml:space="preserve"> Meur /PJ H2</t>
  </si>
  <si>
    <t xml:space="preserve"> Meur/GW H2/year</t>
  </si>
  <si>
    <t>M€ /GW</t>
  </si>
  <si>
    <t>M€ /PJ</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</si>
  <si>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</si>
  <si>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</si>
  <si>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</si>
  <si>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</si>
  <si>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</si>
  <si>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</si>
  <si>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</si>
  <si>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</si>
  <si>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</si>
  <si>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</si>
  <si>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</si>
  <si>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</si>
  <si>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</si>
  <si>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</si>
  <si>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</si>
  <si>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</si>
  <si>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</si>
  <si>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</si>
  <si>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</si>
  <si>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</si>
  <si>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</si>
  <si>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</si>
  <si>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</si>
  <si>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</si>
  <si>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</si>
  <si>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</si>
  <si>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</si>
  <si>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</si>
  <si>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</si>
  <si>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</si>
  <si>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</si>
  <si>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</si>
  <si>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</si>
  <si>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</si>
  <si>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</si>
  <si>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</si>
  <si>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</si>
  <si>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</si>
  <si>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</si>
  <si>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</si>
  <si>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</si>
  <si>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</si>
  <si>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</si>
  <si>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</si>
  <si>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</si>
  <si>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</si>
  <si>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</si>
  <si>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</si>
  <si>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</si>
  <si>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</si>
  <si>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</si>
  <si>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</si>
  <si>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</si>
  <si>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</si>
  <si>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</si>
  <si>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</si>
  <si>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</si>
  <si>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</si>
  <si>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</si>
  <si>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</si>
  <si>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</si>
  <si>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</si>
  <si>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</si>
  <si>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</si>
  <si>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</si>
  <si>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</si>
  <si>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</si>
  <si>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</si>
  <si>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</si>
  <si>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</si>
  <si>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</si>
  <si>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</si>
  <si>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</si>
  <si>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</si>
  <si>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</si>
  <si>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</si>
  <si>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</si>
  <si>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</si>
  <si>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</si>
  <si>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</si>
  <si>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</si>
  <si>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</si>
  <si>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</si>
  <si>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</si>
  <si>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</si>
  <si>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</si>
  <si>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</si>
  <si>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</si>
  <si>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</si>
  <si>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</si>
  <si>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</si>
  <si>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</si>
  <si>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</si>
  <si>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</si>
  <si>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</si>
  <si>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</si>
  <si>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</si>
  <si>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</si>
  <si>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</si>
  <si>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</si>
  <si>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</si>
  <si>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</si>
  <si>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</si>
  <si>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</si>
  <si>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</si>
  <si>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</si>
  <si>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</si>
  <si>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</si>
  <si>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</si>
  <si>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</si>
  <si>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</si>
  <si>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</si>
  <si>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</si>
  <si>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</si>
  <si>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</si>
  <si>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</si>
  <si>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</si>
  <si>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</si>
  <si>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</si>
  <si>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</si>
  <si>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</si>
  <si>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</si>
  <si>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</si>
  <si>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</si>
  <si>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</si>
  <si>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</si>
  <si>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</si>
  <si>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</si>
  <si>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</si>
  <si>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</si>
  <si>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</si>
  <si>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</si>
  <si>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</si>
  <si>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</si>
  <si>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</si>
  <si>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</si>
  <si>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</si>
  <si>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</si>
  <si>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</si>
  <si>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</si>
  <si>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</si>
  <si>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</si>
  <si>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</si>
  <si>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</si>
  <si>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</si>
  <si>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</si>
  <si>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</si>
  <si>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</si>
  <si>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</si>
  <si>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</si>
  <si>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</si>
  <si>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</si>
  <si>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</si>
  <si>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</si>
  <si>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</si>
  <si>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</si>
  <si>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</si>
  <si>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</si>
  <si>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</si>
  <si>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</si>
  <si>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</si>
  <si>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</si>
  <si>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</si>
  <si>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</si>
  <si>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</si>
  <si>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</si>
  <si>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</si>
  <si>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</si>
  <si>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</si>
  <si>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</si>
  <si>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</si>
  <si>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</si>
  <si>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</si>
  <si>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</si>
  <si>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</si>
  <si>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</si>
  <si>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</si>
  <si>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</si>
  <si>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</si>
  <si>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</si>
  <si>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</si>
  <si>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</si>
  <si>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</si>
  <si>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</si>
  <si>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</si>
  <si>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</si>
  <si>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</si>
  <si>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</si>
  <si>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</si>
  <si>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</si>
  <si>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</si>
  <si>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</si>
  <si>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</si>
  <si>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</si>
  <si>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</si>
  <si>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</si>
  <si>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</si>
  <si>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</si>
  <si>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</si>
  <si>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</si>
  <si>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</si>
  <si>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</si>
  <si>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</si>
  <si>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</si>
  <si>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</si>
  <si>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</si>
  <si>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</si>
  <si>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</si>
  <si>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</si>
  <si>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</si>
  <si>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</si>
  <si>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</si>
  <si>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</si>
  <si>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</si>
  <si>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</si>
  <si>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</si>
  <si>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</si>
  <si>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</si>
  <si>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</si>
  <si>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</si>
  <si>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</si>
  <si>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</si>
  <si>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</si>
  <si>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</si>
  <si>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</si>
  <si>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</si>
  <si>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</si>
  <si>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</si>
  <si>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</si>
  <si>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</si>
  <si>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</si>
  <si>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</si>
  <si>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</si>
  <si>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</si>
  <si>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</si>
  <si>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</si>
  <si>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</si>
  <si>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</si>
  <si>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</si>
  <si>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</si>
  <si>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</si>
  <si>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</si>
  <si>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</si>
  <si>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</si>
  <si>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</si>
  <si>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</si>
  <si>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</si>
  <si>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</si>
  <si>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</si>
  <si>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</si>
  <si>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</si>
  <si>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</si>
  <si>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</si>
  <si>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</si>
  <si>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</si>
  <si>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</si>
  <si>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</si>
  <si>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</si>
  <si>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</si>
  <si>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</si>
  <si>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</si>
  <si>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</si>
  <si>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</si>
  <si>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</si>
  <si>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</si>
  <si>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</si>
  <si>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</si>
  <si>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</si>
  <si>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</si>
  <si>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</si>
  <si>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</si>
  <si>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</si>
  <si>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</si>
  <si>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</si>
  <si>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</si>
  <si>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</si>
  <si>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</si>
  <si>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</si>
  <si>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</si>
  <si>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</si>
  <si>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</si>
  <si>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</si>
  <si>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</si>
  <si>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</si>
  <si>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</si>
  <si>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</si>
  <si>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</si>
  <si>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</si>
  <si>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</si>
  <si>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</si>
  <si>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</si>
  <si>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</si>
  <si>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</si>
  <si>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</si>
  <si>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</si>
  <si>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</si>
  <si>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</si>
  <si>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</si>
  <si>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</si>
  <si>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</si>
  <si>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</si>
  <si>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</si>
  <si>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</si>
  <si>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</si>
  <si>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</si>
  <si>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</si>
  <si>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</si>
  <si>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</si>
  <si>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</si>
  <si>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</si>
  <si>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</si>
  <si>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</si>
  <si>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</si>
  <si>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</si>
  <si>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</si>
  <si>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</si>
  <si>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</si>
  <si>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</si>
  <si>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</si>
  <si>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</si>
  <si>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</si>
  <si>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</si>
  <si>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</si>
  <si>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</si>
  <si>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</si>
  <si>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</si>
  <si>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</si>
  <si>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</si>
  <si>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</si>
  <si>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</si>
  <si>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</si>
  <si>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</si>
  <si>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</si>
  <si>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</si>
  <si>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</si>
  <si>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</si>
  <si>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</si>
  <si>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</si>
  <si>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</si>
  <si>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</si>
  <si>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</si>
  <si>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</si>
  <si>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</si>
  <si>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</si>
  <si>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</si>
  <si>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</si>
  <si>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</si>
  <si>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</si>
  <si>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</si>
  <si>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</si>
  <si>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</si>
  <si>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</si>
  <si>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</si>
  <si>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</si>
  <si>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</si>
  <si>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</si>
  <si>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</si>
  <si>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</si>
  <si>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</si>
  <si>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</si>
  <si>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</si>
  <si>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</si>
  <si>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</si>
  <si>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</si>
  <si>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</si>
  <si>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</si>
  <si>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</si>
  <si>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</si>
  <si>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</si>
  <si>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</si>
  <si>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</si>
  <si>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</si>
  <si>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</si>
  <si>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</si>
  <si>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</si>
  <si>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</si>
  <si>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</si>
  <si>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</si>
  <si>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</si>
  <si>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</si>
  <si>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</si>
  <si>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</si>
  <si>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</si>
  <si>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</si>
  <si>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</si>
  <si>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</si>
  <si>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</si>
  <si>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</si>
  <si>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</si>
  <si>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</si>
  <si>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</si>
  <si>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</si>
  <si>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</si>
  <si>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</si>
  <si>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</si>
  <si>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</si>
  <si>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</si>
  <si>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</si>
  <si>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</si>
  <si>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</si>
  <si>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</si>
  <si>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</si>
  <si>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</si>
  <si>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</si>
  <si>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</si>
  <si>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</si>
  <si>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</si>
  <si>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</si>
  <si>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</si>
  <si>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</si>
  <si>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</si>
  <si>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</si>
  <si>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</si>
  <si>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</si>
  <si>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</si>
  <si>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</si>
  <si>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</si>
  <si>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</si>
  <si>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</si>
  <si>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</si>
  <si>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</si>
  <si>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</si>
  <si>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</si>
  <si>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</si>
  <si>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</si>
  <si>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</si>
  <si>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</si>
  <si>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</si>
  <si>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</si>
  <si>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</si>
  <si>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</si>
  <si>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</si>
  <si>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</si>
  <si>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</si>
  <si>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</si>
  <si>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</si>
  <si>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</si>
  <si>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</si>
  <si>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</si>
  <si>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</si>
  <si>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</si>
  <si>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</si>
  <si>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</si>
  <si>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</si>
  <si>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</si>
  <si>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</si>
  <si>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</si>
  <si>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</si>
  <si>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</si>
  <si>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</si>
  <si>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</si>
  <si>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</si>
  <si>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</si>
  <si>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</si>
  <si>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</si>
  <si>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</si>
  <si>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</si>
  <si>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</si>
  <si>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</si>
  <si>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</si>
  <si>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</si>
  <si>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</si>
  <si>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</si>
  <si>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</si>
  <si>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</si>
  <si>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</si>
  <si>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</si>
  <si>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</si>
  <si>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</si>
  <si>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</si>
  <si>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</si>
  <si>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</si>
  <si>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</si>
  <si>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</si>
  <si>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</si>
  <si>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</si>
  <si>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</si>
  <si>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</si>
  <si>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</si>
  <si>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</si>
  <si>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</si>
  <si>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</si>
  <si>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</si>
  <si>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</si>
  <si>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</si>
  <si>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</si>
  <si>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</si>
  <si>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</si>
  <si>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</si>
  <si>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</si>
  <si>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</si>
  <si>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</si>
  <si>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</si>
  <si>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</si>
  <si>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</si>
  <si>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</si>
  <si>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</si>
  <si>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</si>
  <si>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</si>
  <si>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</si>
  <si>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</si>
  <si>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</si>
  <si>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</si>
  <si>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</si>
  <si>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</si>
  <si>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</si>
  <si>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</si>
  <si>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</si>
  <si>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</si>
  <si>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</si>
  <si>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</si>
  <si>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</si>
  <si>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</si>
  <si>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</si>
  <si>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</si>
  <si>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</si>
  <si>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</si>
  <si>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</si>
  <si>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</si>
  <si>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</si>
  <si>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</si>
  <si>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</si>
  <si>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</si>
  <si>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</si>
  <si>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</si>
  <si>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</si>
  <si>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</si>
  <si>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</si>
  <si>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</si>
  <si>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</si>
  <si>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</si>
  <si>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</si>
  <si>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</si>
  <si>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</si>
  <si>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</si>
  <si>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</si>
  <si>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</si>
  <si>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</si>
  <si>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</si>
  <si>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</si>
  <si>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</si>
  <si>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</si>
  <si>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</si>
  <si>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</si>
  <si>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</si>
  <si>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</si>
  <si>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</si>
  <si>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</si>
  <si>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</si>
  <si>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</si>
  <si>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</si>
  <si>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</si>
  <si>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</si>
  <si>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</si>
  <si>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</si>
  <si>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</si>
  <si>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</si>
  <si>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</si>
  <si>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</si>
  <si>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</si>
  <si>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</si>
  <si>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</si>
  <si>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</si>
  <si>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</si>
  <si>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</si>
  <si>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</si>
  <si>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</si>
  <si>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</si>
  <si>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</si>
  <si>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</si>
  <si>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</si>
  <si>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</si>
  <si>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</si>
  <si>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</si>
  <si>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</si>
  <si>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</si>
  <si>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</si>
  <si>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</si>
  <si>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</si>
  <si>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</si>
  <si>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</si>
  <si>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</si>
  <si>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</si>
  <si>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</si>
  <si>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</si>
  <si>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</si>
  <si>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</si>
  <si>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</si>
  <si>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</si>
  <si>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</si>
  <si>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</si>
  <si>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</si>
  <si>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</si>
  <si>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</si>
  <si>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</si>
  <si>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</si>
  <si>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</si>
  <si>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</si>
  <si>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</si>
  <si>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</si>
  <si>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</si>
  <si>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</si>
  <si>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</si>
  <si>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</si>
  <si>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</si>
  <si>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</si>
  <si>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</si>
  <si>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</si>
  <si>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</si>
  <si>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</si>
  <si>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</si>
  <si>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</si>
  <si>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</si>
  <si>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</si>
  <si>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</si>
  <si>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</si>
  <si>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</si>
  <si>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</si>
  <si>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</si>
  <si>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</si>
  <si>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</si>
  <si>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</si>
  <si>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</si>
  <si>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</si>
  <si>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</si>
  <si>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</si>
  <si>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</si>
  <si>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</si>
  <si>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</si>
  <si>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</si>
  <si>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</si>
  <si>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</si>
  <si>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</si>
  <si>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</si>
  <si>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</si>
  <si>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</si>
  <si>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</si>
  <si>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</si>
  <si>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</si>
  <si>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</si>
  <si>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</si>
  <si>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</si>
  <si>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</si>
  <si>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</si>
  <si>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</si>
  <si>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</si>
  <si>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</si>
  <si>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</si>
  <si>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</si>
  <si>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</si>
  <si>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</si>
  <si>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</si>
  <si>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</si>
  <si>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</si>
  <si>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</si>
  <si>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</si>
  <si>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</si>
  <si>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</si>
  <si>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</si>
  <si>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</si>
  <si>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</si>
  <si>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</si>
  <si>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</si>
  <si>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</si>
  <si>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</si>
  <si>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</si>
  <si>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</si>
  <si>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</si>
  <si>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</si>
  <si>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</si>
  <si>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</si>
  <si>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</si>
  <si>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</si>
  <si>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</si>
  <si>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</si>
  <si>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</si>
  <si>
    <t>Hydrogen compressor information.pdf</t>
  </si>
  <si>
    <t>kwh/kg</t>
  </si>
  <si>
    <t>kwh of elc /kg h2</t>
  </si>
  <si>
    <t>Pj elc/pj h2</t>
  </si>
  <si>
    <t>eur/kg/day</t>
  </si>
  <si>
    <t>eur/kwh/day</t>
  </si>
  <si>
    <t>kwh--&gt;PJ</t>
  </si>
  <si>
    <t>EUR/pj/day</t>
  </si>
  <si>
    <t>Meur/pj/day</t>
  </si>
  <si>
    <t>Hydrogen compressor</t>
  </si>
  <si>
    <t>H2_COMP</t>
  </si>
  <si>
    <t>Hydrogen  COMPRESSED</t>
  </si>
  <si>
    <t>EXPELC_BEL</t>
  </si>
  <si>
    <t>EXPH2_BEL</t>
  </si>
  <si>
    <t>EXPAMM_BEL</t>
  </si>
  <si>
    <t>EXPMETH_BEL</t>
  </si>
  <si>
    <t>EXPKRE_BEL</t>
  </si>
  <si>
    <t>Export of Electricity to belgium</t>
  </si>
  <si>
    <t>Export of Hydrogen to belgium</t>
  </si>
  <si>
    <t>Export of Ammonia to belgium</t>
  </si>
  <si>
    <t>Export of Methanol to belgium</t>
  </si>
  <si>
    <t>Export of Kerosen to belgium</t>
  </si>
  <si>
    <t>EXP_ELC_BEL</t>
  </si>
  <si>
    <t>EXP_H2_BEL</t>
  </si>
  <si>
    <t>EXP_AMM_BEL</t>
  </si>
  <si>
    <t>EXP_METH_BEL</t>
  </si>
  <si>
    <t>EXP_KRE_BEL</t>
  </si>
  <si>
    <t>electricity to export to belgium</t>
  </si>
  <si>
    <t>Hydrogen to export to belgium</t>
  </si>
  <si>
    <t>Ammonia to export to belgium</t>
  </si>
  <si>
    <t>Methanol to export to belgium</t>
  </si>
  <si>
    <t>Kerosen to export to belgium</t>
  </si>
  <si>
    <t>electrolisis plant</t>
  </si>
  <si>
    <t>m2/kta</t>
  </si>
  <si>
    <t xml:space="preserve"> MEUR /GW</t>
  </si>
  <si>
    <t xml:space="preserve"> MEUR /GW/year</t>
  </si>
  <si>
    <t>meur/pj</t>
  </si>
  <si>
    <t>Meur/ton</t>
  </si>
  <si>
    <t>m2/mwh</t>
  </si>
  <si>
    <t>m2/gwh</t>
  </si>
  <si>
    <t>M2/GW</t>
  </si>
  <si>
    <t>MAT</t>
  </si>
  <si>
    <t>Platform_electrical_equipment</t>
  </si>
  <si>
    <t>Platfrom_electrolisis</t>
  </si>
  <si>
    <t>Platform_Ammonia</t>
  </si>
  <si>
    <t>Platfrom_Methanol</t>
  </si>
  <si>
    <t>Platform_Jetfuel</t>
  </si>
  <si>
    <t>Platfrom_DAC</t>
  </si>
  <si>
    <t>Space used for the electrical equipment</t>
  </si>
  <si>
    <t>Space used for the electrolisis plant</t>
  </si>
  <si>
    <t>Space used for the ammonia plant</t>
  </si>
  <si>
    <t>Space used for the methanol plant</t>
  </si>
  <si>
    <t>Space used for the jet fuel plant</t>
  </si>
  <si>
    <t>Space used for the DAC PLANT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</si>
</sst>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7" formatCode="_ * #,##0.00_ ;_ * \-#,##0.00_ ;_ * &quot;-&quot;??_ ;_ @_ "/>
    <numFmt numFmtId="168" formatCode="0.0000"/>
    <numFmt numFmtId="169" formatCode="#,##0.0"/>
    <numFmt numFmtId="170" formatCode="_ * #,##0.0_ ;_ * \-#,##0.0_ ;_ * &quot;-&quot;??_ ;_ @_ "/>
    <numFmt numFmtId="171"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6">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
      <patternFill patternType="solid">
        <fgColor rgb="FFFFC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7"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5">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68"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69" fontId="0" fillId="0" borderId="0" xfId="0" applyNumberFormat="1"/>
    <xf numFmtId="169" fontId="0" fillId="0" borderId="0" xfId="0" applyNumberFormat="1" applyAlignment="1">
      <alignment horizontal="center" vertical="center"/>
    </xf>
    <xf numFmtId="0" fontId="2" fillId="0" borderId="6" xfId="21" applyBorder="1"/>
    <xf numFmtId="168"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68"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0"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1"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68"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34" fillId="11" borderId="1" xfId="0" applyFont="1" applyFill="1" applyBorder="1" applyAlignment="1">
      <alignment horizontal="left" vertical="top"/>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69" fontId="35" fillId="8" borderId="0" xfId="0" quotePrefix="1" applyNumberFormat="1" applyFont="1" applyFill="1" applyAlignment="1">
      <alignment vertical="center"/>
    </xf>
    <xf numFmtId="4" fontId="35" fillId="8" borderId="0" xfId="0" applyNumberFormat="1" applyFont="1" applyFill="1" applyAlignment="1">
      <alignment vertical="center"/>
    </xf>
    <xf numFmtId="169" fontId="35" fillId="8" borderId="0" xfId="0" applyNumberFormat="1" applyFont="1" applyFill="1" applyAlignment="1">
      <alignment vertical="center"/>
    </xf>
    <xf numFmtId="169"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69"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5" fillId="8" borderId="0" xfId="0" quotePrefix="1" applyNumberFormat="1" applyFont="1" applyFill="1" applyAlignment="1">
      <alignment vertical="center"/>
    </xf>
    <xf numFmtId="0" fontId="28" fillId="8" borderId="0" xfId="0"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69"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69"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5" fillId="15" borderId="0" xfId="6" applyFill="1"/>
    <xf numFmtId="0" fontId="2" fillId="15" borderId="0" xfId="6" applyFont="1" applyFill="1"/>
    <xf numFmtId="0" fontId="0" fillId="15" borderId="0" xfId="0" applyFill="1"/>
    <xf numFmtId="1" fontId="35" fillId="8" borderId="0" xfId="0" quotePrefix="1" applyNumberFormat="1" applyFont="1" applyFill="1" applyAlignment="1">
      <alignment vertical="center"/>
    </xf>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wrapText="1"/>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51"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2" fillId="0" borderId="1" xfId="21" applyBorder="1"/>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3" Type="http://schemas.openxmlformats.org/officeDocument/2006/relationships/image" Target="../media/image25.png"/><Relationship Id="rId7" Type="http://schemas.openxmlformats.org/officeDocument/2006/relationships/image" Target="../media/image17.png"/><Relationship Id="rId2" Type="http://schemas.openxmlformats.org/officeDocument/2006/relationships/image" Target="../media/image24.png"/><Relationship Id="rId1" Type="http://schemas.openxmlformats.org/officeDocument/2006/relationships/image" Target="../media/image23.png"/><Relationship Id="rId6" Type="http://schemas.openxmlformats.org/officeDocument/2006/relationships/image" Target="../media/image16.png"/><Relationship Id="rId5" Type="http://schemas.openxmlformats.org/officeDocument/2006/relationships/image" Target="../media/image27.png"/><Relationship Id="rId4" Type="http://schemas.openxmlformats.org/officeDocument/2006/relationships/image" Target="../media/image26.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8.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openxmlformats.org/officeDocument/2006/relationships/image" Target="../media/image17.png"/><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8.png"/></Relationships>
</file>

<file path=xl/drawings/_rels/drawing7.xml.rels><?xml version="1.0" encoding="UTF-8" standalone="yes"?>
<Relationships xmlns="http://schemas.openxmlformats.org/package/2006/relationships"><Relationship Id="rId1" Type="http://schemas.openxmlformats.org/officeDocument/2006/relationships/image" Target="../media/image19.png"/></Relationships>
</file>

<file path=xl/drawings/_rels/drawing8.xml.rels><?xml version="1.0" encoding="UTF-8" standalone="yes"?>
<Relationships xmlns="http://schemas.openxmlformats.org/package/2006/relationships"><Relationship Id="rId2" Type="http://schemas.openxmlformats.org/officeDocument/2006/relationships/image" Target="../media/image21.png"/><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14</xdr:row>
      <xdr:rowOff>22412</xdr:rowOff>
    </xdr:from>
    <xdr:to>
      <xdr:col>22</xdr:col>
      <xdr:colOff>549089</xdr:colOff>
      <xdr:row>40</xdr:row>
      <xdr:rowOff>13145</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0</xdr:col>
      <xdr:colOff>582707</xdr:colOff>
      <xdr:row>39</xdr:row>
      <xdr:rowOff>67234</xdr:rowOff>
    </xdr:from>
    <xdr:to>
      <xdr:col>14</xdr:col>
      <xdr:colOff>246530</xdr:colOff>
      <xdr:row>54</xdr:row>
      <xdr:rowOff>22412</xdr:rowOff>
    </xdr:to>
    <xdr:pic>
      <xdr:nvPicPr>
        <xdr:cNvPr id="5" name="Picture 4">
          <a:extLst>
            <a:ext uri="{FF2B5EF4-FFF2-40B4-BE49-F238E27FC236}">
              <a16:creationId xmlns:a16="http://schemas.microsoft.com/office/drawing/2014/main" id="{37098C99-ECF9-7799-D054-83CD2F2FBB9A}"/>
            </a:ext>
          </a:extLst>
        </xdr:cNvPr>
        <xdr:cNvPicPr>
          <a:picLocks noChangeAspect="1"/>
        </xdr:cNvPicPr>
      </xdr:nvPicPr>
      <xdr:blipFill rotWithShape="1">
        <a:blip xmlns:r="http://schemas.openxmlformats.org/officeDocument/2006/relationships" r:embed="rId2"/>
        <a:srcRect l="26626" t="36997" r="28554" b="38276"/>
        <a:stretch/>
      </xdr:blipFill>
      <xdr:spPr>
        <a:xfrm>
          <a:off x="582707" y="6185646"/>
          <a:ext cx="8135470" cy="2308413"/>
        </a:xfrm>
        <a:prstGeom prst="rect">
          <a:avLst/>
        </a:prstGeom>
      </xdr:spPr>
    </xdr:pic>
    <xdr:clientData/>
  </xdr:twoCellAnchor>
  <xdr:twoCellAnchor editAs="oneCell">
    <xdr:from>
      <xdr:col>22</xdr:col>
      <xdr:colOff>93785</xdr:colOff>
      <xdr:row>50</xdr:row>
      <xdr:rowOff>117230</xdr:rowOff>
    </xdr:from>
    <xdr:to>
      <xdr:col>43</xdr:col>
      <xdr:colOff>85696</xdr:colOff>
      <xdr:row>74</xdr:row>
      <xdr:rowOff>35169</xdr:rowOff>
    </xdr:to>
    <xdr:pic>
      <xdr:nvPicPr>
        <xdr:cNvPr id="6" name="Picture 5">
          <a:extLst>
            <a:ext uri="{FF2B5EF4-FFF2-40B4-BE49-F238E27FC236}">
              <a16:creationId xmlns:a16="http://schemas.microsoft.com/office/drawing/2014/main" id="{409A4D9E-4765-7A59-EFEA-BD097E8AB99B}"/>
            </a:ext>
          </a:extLst>
        </xdr:cNvPr>
        <xdr:cNvPicPr>
          <a:picLocks noChangeAspect="1"/>
        </xdr:cNvPicPr>
      </xdr:nvPicPr>
      <xdr:blipFill rotWithShape="1">
        <a:blip xmlns:r="http://schemas.openxmlformats.org/officeDocument/2006/relationships" r:embed="rId3"/>
        <a:srcRect l="10450" t="28152" r="16400" b="34351"/>
        <a:stretch/>
      </xdr:blipFill>
      <xdr:spPr>
        <a:xfrm>
          <a:off x="13504985" y="8323384"/>
          <a:ext cx="13376030" cy="3856893"/>
        </a:xfrm>
        <a:prstGeom prst="rect">
          <a:avLst/>
        </a:prstGeom>
      </xdr:spPr>
    </xdr:pic>
    <xdr:clientData/>
  </xdr:twoCellAnchor>
  <xdr:twoCellAnchor editAs="oneCell">
    <xdr:from>
      <xdr:col>1</xdr:col>
      <xdr:colOff>242454</xdr:colOff>
      <xdr:row>75</xdr:row>
      <xdr:rowOff>51955</xdr:rowOff>
    </xdr:from>
    <xdr:to>
      <xdr:col>30</xdr:col>
      <xdr:colOff>353828</xdr:colOff>
      <xdr:row>93</xdr:row>
      <xdr:rowOff>0</xdr:rowOff>
    </xdr:to>
    <xdr:pic>
      <xdr:nvPicPr>
        <xdr:cNvPr id="7" name="Picture 6">
          <a:extLst>
            <a:ext uri="{FF2B5EF4-FFF2-40B4-BE49-F238E27FC236}">
              <a16:creationId xmlns:a16="http://schemas.microsoft.com/office/drawing/2014/main" id="{AD34F498-9E64-A320-C5FB-55DBE13777DA}"/>
            </a:ext>
          </a:extLst>
        </xdr:cNvPr>
        <xdr:cNvPicPr>
          <a:picLocks noChangeAspect="1"/>
        </xdr:cNvPicPr>
      </xdr:nvPicPr>
      <xdr:blipFill rotWithShape="1">
        <a:blip xmlns:r="http://schemas.openxmlformats.org/officeDocument/2006/relationships" r:embed="rId4"/>
        <a:srcRect t="33368" b="38508"/>
        <a:stretch/>
      </xdr:blipFill>
      <xdr:spPr>
        <a:xfrm>
          <a:off x="848590" y="13040591"/>
          <a:ext cx="18110059" cy="3065318"/>
        </a:xfrm>
        <a:prstGeom prst="rect">
          <a:avLst/>
        </a:prstGeom>
      </xdr:spPr>
    </xdr:pic>
    <xdr:clientData/>
  </xdr:twoCellAnchor>
  <xdr:twoCellAnchor editAs="oneCell">
    <xdr:from>
      <xdr:col>15</xdr:col>
      <xdr:colOff>185853</xdr:colOff>
      <xdr:row>29</xdr:row>
      <xdr:rowOff>148684</xdr:rowOff>
    </xdr:from>
    <xdr:to>
      <xdr:col>27</xdr:col>
      <xdr:colOff>260194</xdr:colOff>
      <xdr:row>40</xdr:row>
      <xdr:rowOff>148684</xdr:rowOff>
    </xdr:to>
    <xdr:pic>
      <xdr:nvPicPr>
        <xdr:cNvPr id="8" name="Picture 7">
          <a:extLst>
            <a:ext uri="{FF2B5EF4-FFF2-40B4-BE49-F238E27FC236}">
              <a16:creationId xmlns:a16="http://schemas.microsoft.com/office/drawing/2014/main" id="{5F04F309-2E24-80BA-E8BF-FD9CAD6B49A6}"/>
            </a:ext>
          </a:extLst>
        </xdr:cNvPr>
        <xdr:cNvPicPr>
          <a:picLocks noChangeAspect="1"/>
        </xdr:cNvPicPr>
      </xdr:nvPicPr>
      <xdr:blipFill rotWithShape="1">
        <a:blip xmlns:r="http://schemas.openxmlformats.org/officeDocument/2006/relationships" r:embed="rId5"/>
        <a:srcRect l="10062" t="45725" r="48164" b="35334"/>
        <a:stretch/>
      </xdr:blipFill>
      <xdr:spPr>
        <a:xfrm>
          <a:off x="9385609" y="4999464"/>
          <a:ext cx="7638585" cy="1839952"/>
        </a:xfrm>
        <a:prstGeom prst="rect">
          <a:avLst/>
        </a:prstGeom>
      </xdr:spPr>
    </xdr:pic>
    <xdr:clientData/>
  </xdr:twoCellAnchor>
  <xdr:twoCellAnchor editAs="oneCell">
    <xdr:from>
      <xdr:col>29</xdr:col>
      <xdr:colOff>138545</xdr:colOff>
      <xdr:row>10</xdr:row>
      <xdr:rowOff>34636</xdr:rowOff>
    </xdr:from>
    <xdr:to>
      <xdr:col>40</xdr:col>
      <xdr:colOff>432163</xdr:colOff>
      <xdr:row>28</xdr:row>
      <xdr:rowOff>34636</xdr:rowOff>
    </xdr:to>
    <xdr:pic>
      <xdr:nvPicPr>
        <xdr:cNvPr id="9" name="Picture 8">
          <a:extLst>
            <a:ext uri="{FF2B5EF4-FFF2-40B4-BE49-F238E27FC236}">
              <a16:creationId xmlns:a16="http://schemas.microsoft.com/office/drawing/2014/main" id="{5ED6112E-EEEE-48B2-8085-7C648F2DF4F9}"/>
            </a:ext>
          </a:extLst>
        </xdr:cNvPr>
        <xdr:cNvPicPr>
          <a:picLocks noChangeAspect="1"/>
        </xdr:cNvPicPr>
      </xdr:nvPicPr>
      <xdr:blipFill rotWithShape="1">
        <a:blip xmlns:r="http://schemas.openxmlformats.org/officeDocument/2006/relationships" r:embed="rId6"/>
        <a:srcRect l="26865" t="38947" r="30957" b="31667"/>
        <a:stretch/>
      </xdr:blipFill>
      <xdr:spPr>
        <a:xfrm>
          <a:off x="18426545" y="1766454"/>
          <a:ext cx="7744766" cy="3117273"/>
        </a:xfrm>
        <a:prstGeom prst="rect">
          <a:avLst/>
        </a:prstGeom>
      </xdr:spPr>
    </xdr:pic>
    <xdr:clientData/>
  </xdr:twoCellAnchor>
  <xdr:twoCellAnchor editAs="oneCell">
    <xdr:from>
      <xdr:col>41</xdr:col>
      <xdr:colOff>376531</xdr:colOff>
      <xdr:row>12</xdr:row>
      <xdr:rowOff>129608</xdr:rowOff>
    </xdr:from>
    <xdr:to>
      <xdr:col>54</xdr:col>
      <xdr:colOff>157167</xdr:colOff>
      <xdr:row>57</xdr:row>
      <xdr:rowOff>152697</xdr:rowOff>
    </xdr:to>
    <xdr:pic>
      <xdr:nvPicPr>
        <xdr:cNvPr id="10" name="Picture 9">
          <a:extLst>
            <a:ext uri="{FF2B5EF4-FFF2-40B4-BE49-F238E27FC236}">
              <a16:creationId xmlns:a16="http://schemas.microsoft.com/office/drawing/2014/main" id="{554C717D-EB54-403D-B876-59567A808EDA}"/>
            </a:ext>
          </a:extLst>
        </xdr:cNvPr>
        <xdr:cNvPicPr>
          <a:picLocks noChangeAspect="1"/>
        </xdr:cNvPicPr>
      </xdr:nvPicPr>
      <xdr:blipFill rotWithShape="1">
        <a:blip xmlns:r="http://schemas.openxmlformats.org/officeDocument/2006/relationships" r:embed="rId7"/>
        <a:srcRect l="27782" t="17181" r="28874" b="7751"/>
        <a:stretch/>
      </xdr:blipFill>
      <xdr:spPr>
        <a:xfrm>
          <a:off x="26353804" y="2207790"/>
          <a:ext cx="7885545" cy="7816271"/>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38</xdr:col>
      <xdr:colOff>331107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75</xdr:row>
      <xdr:rowOff>130091</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9</xdr:col>
      <xdr:colOff>73741</xdr:colOff>
      <xdr:row>19</xdr:row>
      <xdr:rowOff>147483</xdr:rowOff>
    </xdr:from>
    <xdr:to>
      <xdr:col>17</xdr:col>
      <xdr:colOff>417871</xdr:colOff>
      <xdr:row>37</xdr:row>
      <xdr:rowOff>147483</xdr:rowOff>
    </xdr:to>
    <xdr:pic>
      <xdr:nvPicPr>
        <xdr:cNvPr id="2" name="Picture 1">
          <a:extLst>
            <a:ext uri="{FF2B5EF4-FFF2-40B4-BE49-F238E27FC236}">
              <a16:creationId xmlns:a16="http://schemas.microsoft.com/office/drawing/2014/main" id="{6B039552-2BD5-F7DE-6523-64E87CCF306B}"/>
            </a:ext>
          </a:extLst>
        </xdr:cNvPr>
        <xdr:cNvPicPr>
          <a:picLocks noChangeAspect="1"/>
        </xdr:cNvPicPr>
      </xdr:nvPicPr>
      <xdr:blipFill rotWithShape="1">
        <a:blip xmlns:r="http://schemas.openxmlformats.org/officeDocument/2006/relationships" r:embed="rId1"/>
        <a:srcRect l="26865" t="38947" r="30957" b="31667"/>
        <a:stretch/>
      </xdr:blipFill>
      <xdr:spPr>
        <a:xfrm>
          <a:off x="9783096" y="3834580"/>
          <a:ext cx="7718323" cy="3097161"/>
        </a:xfrm>
        <a:prstGeom prst="rect">
          <a:avLst/>
        </a:prstGeom>
      </xdr:spPr>
    </xdr:pic>
    <xdr:clientData/>
  </xdr:twoCellAnchor>
  <xdr:twoCellAnchor editAs="oneCell">
    <xdr:from>
      <xdr:col>16</xdr:col>
      <xdr:colOff>785091</xdr:colOff>
      <xdr:row>20</xdr:row>
      <xdr:rowOff>69273</xdr:rowOff>
    </xdr:from>
    <xdr:to>
      <xdr:col>20</xdr:col>
      <xdr:colOff>508000</xdr:colOff>
      <xdr:row>65</xdr:row>
      <xdr:rowOff>92363</xdr:rowOff>
    </xdr:to>
    <xdr:pic>
      <xdr:nvPicPr>
        <xdr:cNvPr id="3" name="Picture 2">
          <a:extLst>
            <a:ext uri="{FF2B5EF4-FFF2-40B4-BE49-F238E27FC236}">
              <a16:creationId xmlns:a16="http://schemas.microsoft.com/office/drawing/2014/main" id="{3AE40D35-73DF-E0E2-9D61-3D242AD2E1BD}"/>
            </a:ext>
          </a:extLst>
        </xdr:cNvPr>
        <xdr:cNvPicPr>
          <a:picLocks noChangeAspect="1"/>
        </xdr:cNvPicPr>
      </xdr:nvPicPr>
      <xdr:blipFill rotWithShape="1">
        <a:blip xmlns:r="http://schemas.openxmlformats.org/officeDocument/2006/relationships" r:embed="rId2"/>
        <a:srcRect l="27782" t="17181" r="28874" b="7751"/>
        <a:stretch/>
      </xdr:blipFill>
      <xdr:spPr>
        <a:xfrm>
          <a:off x="16740909" y="3763818"/>
          <a:ext cx="7874000" cy="7296727"/>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22</xdr:col>
      <xdr:colOff>86264</xdr:colOff>
      <xdr:row>20</xdr:row>
      <xdr:rowOff>86264</xdr:rowOff>
    </xdr:from>
    <xdr:to>
      <xdr:col>26</xdr:col>
      <xdr:colOff>1035170</xdr:colOff>
      <xdr:row>49</xdr:row>
      <xdr:rowOff>164908</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26</xdr:col>
      <xdr:colOff>298174</xdr:colOff>
      <xdr:row>23</xdr:row>
      <xdr:rowOff>115955</xdr:rowOff>
    </xdr:from>
    <xdr:to>
      <xdr:col>36</xdr:col>
      <xdr:colOff>14493</xdr:colOff>
      <xdr:row>70</xdr:row>
      <xdr:rowOff>51763</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86132</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50</xdr:row>
      <xdr:rowOff>93639</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8.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Users/panch/OneDrive/Escritorio/Master%20thesis/Info%20for%20master%20thesis/Hydrogen%20compressor%20information.pdf" TargetMode="Externa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1.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3" Type="http://schemas.openxmlformats.org/officeDocument/2006/relationships/comments" Target="../comments6.xml"/><Relationship Id="rId2" Type="http://schemas.openxmlformats.org/officeDocument/2006/relationships/vmlDrawing" Target="../drawings/vmlDrawing6.vml"/><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171</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41"/>
  <sheetViews>
    <sheetView topLeftCell="A10" zoomScale="56" workbookViewId="0">
      <selection activeCell="U33" sqref="U33:V33"/>
    </sheetView>
  </sheetViews>
  <sheetFormatPr defaultRowHeight="13.2" x14ac:dyDescent="0.25"/>
  <cols>
    <col min="5" max="5" width="21" bestFit="1" customWidth="1"/>
    <col min="6" max="6" width="14.88671875" bestFit="1" customWidth="1"/>
    <col min="13" max="13" width="11.21875" bestFit="1" customWidth="1"/>
    <col min="23" max="23" width="39.664062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588</v>
      </c>
      <c r="AA8" t="s">
        <v>412</v>
      </c>
      <c r="AB8" t="s">
        <v>413</v>
      </c>
      <c r="AC8" t="s">
        <v>417</v>
      </c>
      <c r="AD8" s="28"/>
      <c r="AE8" s="61" t="s">
        <v>164</v>
      </c>
    </row>
    <row r="9" spans="4:33" x14ac:dyDescent="0.25">
      <c r="D9" s="48" t="s">
        <v>13</v>
      </c>
      <c r="E9" s="44"/>
      <c r="F9" s="44"/>
      <c r="G9" s="44"/>
      <c r="H9" s="48"/>
      <c r="I9" s="48"/>
      <c r="J9" s="48"/>
      <c r="K9" s="48"/>
      <c r="L9" s="48"/>
      <c r="M9" s="48"/>
      <c r="N9" s="44"/>
      <c r="O9" s="44"/>
      <c r="P9" s="44"/>
      <c r="Q9" s="44"/>
      <c r="R9" s="44"/>
      <c r="S9" s="44"/>
      <c r="T9" s="44"/>
      <c r="U9" s="44"/>
      <c r="Z9" t="s">
        <v>44</v>
      </c>
      <c r="AA9" s="44" t="s">
        <v>425</v>
      </c>
      <c r="AB9" t="s">
        <v>426</v>
      </c>
      <c r="AC9" t="s">
        <v>45</v>
      </c>
      <c r="AE9" t="s">
        <v>164</v>
      </c>
    </row>
    <row r="10" spans="4:33" x14ac:dyDescent="0.25">
      <c r="D10" s="29" t="s">
        <v>1</v>
      </c>
      <c r="E10" s="29" t="s">
        <v>2</v>
      </c>
      <c r="F10" s="29" t="s">
        <v>157</v>
      </c>
      <c r="G10" s="29" t="s">
        <v>5</v>
      </c>
      <c r="H10" s="29" t="s">
        <v>6</v>
      </c>
      <c r="I10" s="29" t="s">
        <v>105</v>
      </c>
      <c r="J10" s="29" t="s">
        <v>61</v>
      </c>
      <c r="K10" s="29" t="s">
        <v>68</v>
      </c>
      <c r="L10" s="29" t="s">
        <v>50</v>
      </c>
      <c r="M10" s="29" t="s">
        <v>106</v>
      </c>
      <c r="N10" s="29" t="s">
        <v>107</v>
      </c>
      <c r="O10" s="29" t="s">
        <v>57</v>
      </c>
      <c r="P10" s="29" t="s">
        <v>109</v>
      </c>
      <c r="Q10" s="29" t="s">
        <v>70</v>
      </c>
      <c r="R10" s="29" t="s">
        <v>48</v>
      </c>
      <c r="S10" s="29" t="s">
        <v>49</v>
      </c>
      <c r="T10" s="29" t="s">
        <v>64</v>
      </c>
    </row>
    <row r="11" spans="4:33" ht="31.8" thickBot="1" x14ac:dyDescent="0.3">
      <c r="D11" s="31" t="s">
        <v>110</v>
      </c>
      <c r="E11" s="31" t="s">
        <v>22</v>
      </c>
      <c r="F11" s="31" t="s">
        <v>158</v>
      </c>
      <c r="G11" s="31" t="s">
        <v>32</v>
      </c>
      <c r="H11" s="31" t="s">
        <v>33</v>
      </c>
      <c r="I11" s="31" t="s">
        <v>111</v>
      </c>
      <c r="J11" s="31"/>
      <c r="K11" s="31"/>
      <c r="L11" s="31" t="s">
        <v>159</v>
      </c>
      <c r="M11" s="31" t="s">
        <v>112</v>
      </c>
      <c r="N11" s="31" t="s">
        <v>113</v>
      </c>
      <c r="O11" s="31" t="s">
        <v>114</v>
      </c>
      <c r="P11" s="31" t="s">
        <v>115</v>
      </c>
      <c r="Q11" s="31" t="s">
        <v>66</v>
      </c>
      <c r="R11" s="31" t="s">
        <v>116</v>
      </c>
      <c r="S11" s="31" t="s">
        <v>55</v>
      </c>
      <c r="T11" s="31" t="s">
        <v>65</v>
      </c>
    </row>
    <row r="12" spans="4:33" ht="13.8" thickBot="1" x14ac:dyDescent="0.3">
      <c r="D12" s="31" t="s">
        <v>117</v>
      </c>
      <c r="E12" s="31"/>
      <c r="F12" s="31"/>
      <c r="G12" s="31"/>
      <c r="H12" s="31"/>
      <c r="I12" s="31"/>
      <c r="J12" s="31"/>
      <c r="K12" s="31"/>
      <c r="L12" s="31" t="s">
        <v>160</v>
      </c>
      <c r="M12" s="31" t="s">
        <v>496</v>
      </c>
      <c r="N12" s="31" t="s">
        <v>496</v>
      </c>
      <c r="O12" s="31" t="s">
        <v>162</v>
      </c>
      <c r="P12" s="31" t="s">
        <v>120</v>
      </c>
      <c r="Q12" s="31" t="s">
        <v>165</v>
      </c>
      <c r="R12" s="131" t="s">
        <v>427</v>
      </c>
      <c r="S12" s="131" t="s">
        <v>427</v>
      </c>
      <c r="T12" s="31" t="s">
        <v>170</v>
      </c>
    </row>
    <row r="13" spans="4:33" x14ac:dyDescent="0.25">
      <c r="D13" t="s">
        <v>414</v>
      </c>
      <c r="E13" t="s">
        <v>415</v>
      </c>
      <c r="G13" t="s">
        <v>41</v>
      </c>
      <c r="H13" t="s">
        <v>412</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Z13" s="27" t="s">
        <v>15</v>
      </c>
      <c r="AA13" s="28"/>
      <c r="AB13" s="28"/>
      <c r="AC13" s="28"/>
      <c r="AD13" s="28"/>
      <c r="AE13" s="28"/>
      <c r="AF13" s="28"/>
      <c r="AG13" s="28"/>
    </row>
    <row r="14" spans="4:33" x14ac:dyDescent="0.25">
      <c r="F14" s="44" t="s">
        <v>592</v>
      </c>
      <c r="I14" s="44" t="s">
        <v>425</v>
      </c>
      <c r="J14" s="44">
        <v>2025</v>
      </c>
      <c r="K14" s="44"/>
      <c r="M14">
        <f>'403.b Solid Direct air capture'!C10*1000*0.0000036</f>
        <v>5.3999999999999994E-3</v>
      </c>
      <c r="N14">
        <f>'403.b Solid Direct air capture'!C18*1000*0.0000036</f>
        <v>4.4999999999999997E-3</v>
      </c>
      <c r="P14" s="46"/>
      <c r="Z14" s="29" t="s">
        <v>11</v>
      </c>
      <c r="AA14" s="29" t="s">
        <v>1</v>
      </c>
      <c r="AB14" s="29" t="s">
        <v>2</v>
      </c>
      <c r="AC14" s="29" t="s">
        <v>16</v>
      </c>
      <c r="AD14" s="29" t="s">
        <v>17</v>
      </c>
      <c r="AE14" s="29" t="s">
        <v>18</v>
      </c>
      <c r="AF14" s="29" t="s">
        <v>19</v>
      </c>
      <c r="AG14" s="29" t="s">
        <v>20</v>
      </c>
    </row>
    <row r="15" spans="4:33" ht="42" thickBot="1" x14ac:dyDescent="0.3">
      <c r="G15" t="s">
        <v>41</v>
      </c>
      <c r="H15" t="s">
        <v>412</v>
      </c>
      <c r="J15" s="44">
        <v>2030</v>
      </c>
      <c r="M15" s="194">
        <f>'403.b Solid Direct air capture'!D12*0.0000036*1000</f>
        <v>8.0999999999999996E-4</v>
      </c>
      <c r="O15">
        <f>1-0.057-0.03</f>
        <v>0.91299999999999992</v>
      </c>
      <c r="P15" s="46">
        <v>25</v>
      </c>
      <c r="Q15">
        <v>1</v>
      </c>
      <c r="R15">
        <f>'403.b Solid Direct air capture'!D26*1000/8760</f>
        <v>0.34246575342465752</v>
      </c>
      <c r="S15">
        <f>'403.b Solid Direct air capture'!D27*1000/8760</f>
        <v>3.8812785388127852E-2</v>
      </c>
      <c r="Z15" s="31" t="s">
        <v>35</v>
      </c>
      <c r="AA15" s="31" t="s">
        <v>21</v>
      </c>
      <c r="AB15" s="31" t="s">
        <v>22</v>
      </c>
      <c r="AC15" s="31" t="s">
        <v>23</v>
      </c>
      <c r="AD15" s="31" t="s">
        <v>24</v>
      </c>
      <c r="AE15" s="31" t="s">
        <v>40</v>
      </c>
      <c r="AF15" s="31" t="s">
        <v>39</v>
      </c>
      <c r="AG15" s="31" t="s">
        <v>25</v>
      </c>
    </row>
    <row r="16" spans="4:33" x14ac:dyDescent="0.25">
      <c r="F16" s="44" t="s">
        <v>592</v>
      </c>
      <c r="I16" s="44" t="s">
        <v>425</v>
      </c>
      <c r="J16" s="44">
        <v>2030</v>
      </c>
      <c r="M16">
        <f>'403.b Solid Direct air capture'!D10*1000*0.0000036</f>
        <v>5.3999999999999994E-3</v>
      </c>
      <c r="N16">
        <f>'403.b Solid Direct air capture'!D18*1000*0.0000036</f>
        <v>3.5999999999999999E-3</v>
      </c>
      <c r="P16" s="46"/>
      <c r="Z16" t="s">
        <v>60</v>
      </c>
      <c r="AA16" t="s">
        <v>414</v>
      </c>
      <c r="AB16" t="s">
        <v>415</v>
      </c>
      <c r="AC16" s="43" t="s">
        <v>417</v>
      </c>
      <c r="AD16" s="43" t="s">
        <v>423</v>
      </c>
      <c r="AE16" s="44" t="s">
        <v>164</v>
      </c>
      <c r="AF16" t="s">
        <v>412</v>
      </c>
      <c r="AG16" s="43" t="s">
        <v>177</v>
      </c>
    </row>
    <row r="17" spans="6:33" x14ac:dyDescent="0.25">
      <c r="G17" t="s">
        <v>41</v>
      </c>
      <c r="H17" t="s">
        <v>412</v>
      </c>
      <c r="J17" s="44">
        <v>2040</v>
      </c>
      <c r="M17" s="194">
        <f>'403.b Solid Direct air capture'!E12*0.0000036*1000</f>
        <v>7.3080000000000009E-4</v>
      </c>
      <c r="O17">
        <f>1-0.057-0.03</f>
        <v>0.91299999999999992</v>
      </c>
      <c r="P17" s="46">
        <v>30</v>
      </c>
      <c r="Q17">
        <v>1</v>
      </c>
      <c r="R17">
        <f>'403.b Solid Direct air capture'!E26*1000/8760</f>
        <v>0.23972602739726026</v>
      </c>
      <c r="S17">
        <f>'403.b Solid Direct air capture'!E27*1000/8760</f>
        <v>3.8812785388127852E-2</v>
      </c>
      <c r="Z17" s="297"/>
      <c r="AA17" s="297"/>
      <c r="AB17" s="297"/>
      <c r="AC17" s="297"/>
      <c r="AD17" s="297"/>
      <c r="AE17" s="297"/>
      <c r="AF17" s="297"/>
      <c r="AG17" s="297"/>
    </row>
    <row r="18" spans="6:33" x14ac:dyDescent="0.25">
      <c r="F18" s="44" t="s">
        <v>592</v>
      </c>
      <c r="I18" s="44" t="s">
        <v>425</v>
      </c>
      <c r="J18" s="44">
        <v>2040</v>
      </c>
      <c r="M18">
        <f>'403.b Solid Direct air capture'!E10*1000*0.0000036</f>
        <v>4.6296000000000002E-3</v>
      </c>
      <c r="N18">
        <f>'403.b Solid Direct air capture'!E18*1000*0.0000036</f>
        <v>2.6999999999999997E-3</v>
      </c>
      <c r="P18" s="46"/>
    </row>
    <row r="19" spans="6:33" x14ac:dyDescent="0.25">
      <c r="G19" t="s">
        <v>41</v>
      </c>
      <c r="H19" t="s">
        <v>412</v>
      </c>
      <c r="J19" s="44">
        <v>2050</v>
      </c>
      <c r="M19" s="194">
        <f>'403.b Solid Direct air capture'!F12*0.0000036*1000</f>
        <v>6.5519999999999999E-4</v>
      </c>
      <c r="O19">
        <f>1-0.057-0.03</f>
        <v>0.91299999999999992</v>
      </c>
      <c r="P19" s="46">
        <v>30</v>
      </c>
      <c r="Q19">
        <v>1</v>
      </c>
      <c r="R19">
        <f>'403.b Solid Direct air capture'!F26*1000/8760</f>
        <v>0.20547945205479451</v>
      </c>
      <c r="S19">
        <f>'403.b Solid Direct air capture'!F27*1000/8760</f>
        <v>3.8812785388127852E-2</v>
      </c>
    </row>
    <row r="20" spans="6:33" x14ac:dyDescent="0.25">
      <c r="F20" s="44" t="s">
        <v>592</v>
      </c>
      <c r="I20" s="44" t="s">
        <v>425</v>
      </c>
      <c r="J20" s="44">
        <v>2050</v>
      </c>
      <c r="M20">
        <f>'403.b Solid Direct air capture'!F10*1000*0.0000036</f>
        <v>3.9671999999999997E-3</v>
      </c>
      <c r="N20">
        <f>'403.b Solid Direct air capture'!F18*1000*0.0000036</f>
        <v>2.6999999999999997E-3</v>
      </c>
    </row>
    <row r="21" spans="6:33" x14ac:dyDescent="0.25">
      <c r="J21" s="44"/>
    </row>
    <row r="29" spans="6:33" x14ac:dyDescent="0.25">
      <c r="O29" s="29" t="s">
        <v>373</v>
      </c>
    </row>
    <row r="30" spans="6:33" ht="21.6" thickBot="1" x14ac:dyDescent="0.3">
      <c r="O30" s="31" t="s">
        <v>374</v>
      </c>
      <c r="U30">
        <v>0.1</v>
      </c>
      <c r="V30" t="s">
        <v>573</v>
      </c>
    </row>
    <row r="31" spans="6:33" x14ac:dyDescent="0.25">
      <c r="O31" s="131" t="s">
        <v>120</v>
      </c>
    </row>
    <row r="32" spans="6:33" x14ac:dyDescent="0.25">
      <c r="O32" s="26">
        <v>2</v>
      </c>
    </row>
    <row r="33" spans="15:24" x14ac:dyDescent="0.25">
      <c r="O33" s="26"/>
      <c r="U33" s="356">
        <f>U30*1000000/1000</f>
        <v>100</v>
      </c>
      <c r="V33" s="356" t="s">
        <v>880</v>
      </c>
    </row>
    <row r="34" spans="15:24" x14ac:dyDescent="0.25">
      <c r="O34" s="26"/>
    </row>
    <row r="35" spans="15:24" x14ac:dyDescent="0.25">
      <c r="O35" s="26">
        <v>2</v>
      </c>
    </row>
    <row r="36" spans="15:24" x14ac:dyDescent="0.25">
      <c r="O36" s="26"/>
      <c r="W36" s="184" t="s">
        <v>401</v>
      </c>
      <c r="X36" s="187">
        <v>0.1</v>
      </c>
    </row>
    <row r="37" spans="15:24" x14ac:dyDescent="0.25">
      <c r="O37" s="26"/>
    </row>
    <row r="38" spans="15:24" x14ac:dyDescent="0.25">
      <c r="O38" s="26">
        <v>2.5</v>
      </c>
    </row>
    <row r="39" spans="15:24" x14ac:dyDescent="0.25">
      <c r="O39" s="26"/>
    </row>
    <row r="40" spans="15:24" x14ac:dyDescent="0.25">
      <c r="O40" s="26"/>
    </row>
    <row r="41" spans="15:24" x14ac:dyDescent="0.25">
      <c r="O41" s="26">
        <v>2.5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68"/>
  <sheetViews>
    <sheetView topLeftCell="A5" zoomScale="56" workbookViewId="0">
      <selection activeCell="L12" sqref="L12"/>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404</v>
      </c>
      <c r="AA6" t="s">
        <v>405</v>
      </c>
      <c r="AB6" t="s">
        <v>45</v>
      </c>
      <c r="AC6" s="28"/>
      <c r="AD6" s="61" t="s">
        <v>164</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157</v>
      </c>
      <c r="F8" s="29" t="s">
        <v>5</v>
      </c>
      <c r="G8" s="29" t="s">
        <v>6</v>
      </c>
      <c r="H8" s="29" t="s">
        <v>105</v>
      </c>
      <c r="I8" s="29" t="s">
        <v>61</v>
      </c>
      <c r="J8" s="29" t="s">
        <v>68</v>
      </c>
      <c r="K8" s="29" t="s">
        <v>50</v>
      </c>
      <c r="L8" s="29" t="s">
        <v>106</v>
      </c>
      <c r="M8" s="29" t="s">
        <v>107</v>
      </c>
      <c r="N8" s="29" t="s">
        <v>57</v>
      </c>
      <c r="O8" s="29" t="s">
        <v>109</v>
      </c>
      <c r="P8" s="29" t="s">
        <v>70</v>
      </c>
      <c r="Q8" s="29" t="s">
        <v>48</v>
      </c>
      <c r="R8" s="29" t="s">
        <v>49</v>
      </c>
      <c r="S8" s="29" t="s">
        <v>64</v>
      </c>
    </row>
    <row r="9" spans="3:32" ht="31.8" thickBot="1" x14ac:dyDescent="0.3">
      <c r="C9" s="31" t="s">
        <v>110</v>
      </c>
      <c r="D9" s="31" t="s">
        <v>22</v>
      </c>
      <c r="E9" s="31" t="s">
        <v>158</v>
      </c>
      <c r="F9" s="31" t="s">
        <v>32</v>
      </c>
      <c r="G9" s="31" t="s">
        <v>33</v>
      </c>
      <c r="H9" s="31" t="s">
        <v>111</v>
      </c>
      <c r="I9" s="31"/>
      <c r="J9" s="31"/>
      <c r="K9" s="31" t="s">
        <v>159</v>
      </c>
      <c r="L9" s="31" t="s">
        <v>112</v>
      </c>
      <c r="M9" s="31" t="s">
        <v>113</v>
      </c>
      <c r="N9" s="31" t="s">
        <v>114</v>
      </c>
      <c r="O9" s="31" t="s">
        <v>115</v>
      </c>
      <c r="P9" s="31" t="s">
        <v>66</v>
      </c>
      <c r="Q9" s="31" t="s">
        <v>116</v>
      </c>
      <c r="R9" s="31" t="s">
        <v>55</v>
      </c>
      <c r="S9" s="31" t="s">
        <v>65</v>
      </c>
    </row>
    <row r="10" spans="3:32" ht="13.8" thickBot="1" x14ac:dyDescent="0.3">
      <c r="C10" s="31" t="s">
        <v>117</v>
      </c>
      <c r="D10" s="31"/>
      <c r="E10" s="31"/>
      <c r="F10" s="31"/>
      <c r="G10" s="31"/>
      <c r="H10" s="31"/>
      <c r="I10" s="131"/>
      <c r="J10" s="31"/>
      <c r="K10" s="31" t="s">
        <v>160</v>
      </c>
      <c r="L10" s="31" t="s">
        <v>161</v>
      </c>
      <c r="M10" s="31" t="s">
        <v>161</v>
      </c>
      <c r="N10" s="31" t="s">
        <v>162</v>
      </c>
      <c r="O10" s="31" t="s">
        <v>120</v>
      </c>
      <c r="P10" s="31" t="s">
        <v>165</v>
      </c>
      <c r="Q10" s="131" t="s">
        <v>169</v>
      </c>
      <c r="R10" s="131" t="s">
        <v>169</v>
      </c>
      <c r="S10" s="31" t="s">
        <v>170</v>
      </c>
    </row>
    <row r="11" spans="3:32" x14ac:dyDescent="0.25">
      <c r="C11" t="s">
        <v>406</v>
      </c>
      <c r="D11" t="s">
        <v>407</v>
      </c>
      <c r="F11" t="s">
        <v>412</v>
      </c>
      <c r="G11" t="s">
        <v>404</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Y11" s="27" t="s">
        <v>15</v>
      </c>
      <c r="Z11" s="28"/>
      <c r="AA11" s="28"/>
      <c r="AB11" s="28"/>
      <c r="AC11" s="28"/>
      <c r="AD11" s="28"/>
      <c r="AE11" s="28"/>
      <c r="AF11" s="28"/>
    </row>
    <row r="12" spans="3:32" x14ac:dyDescent="0.25">
      <c r="F12" t="s">
        <v>122</v>
      </c>
      <c r="I12" s="44">
        <v>2025</v>
      </c>
      <c r="J12" s="44"/>
      <c r="L12">
        <f>'98 Methanol from Hydrogen'!D12/'98 Methanol from Hydrogen'!$Q$5</f>
        <v>1.1577889447236183</v>
      </c>
      <c r="O12" s="4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H14" s="44" t="s">
        <v>103</v>
      </c>
      <c r="I14" s="44">
        <v>2025</v>
      </c>
      <c r="M14">
        <f>SUM('98 Methanol from Hydrogen'!D17:D18)/'98 Methanol from Hydrogen'!D16</f>
        <v>0.28205128205128205</v>
      </c>
      <c r="O14" s="46"/>
      <c r="Y14" t="s">
        <v>589</v>
      </c>
      <c r="Z14" t="s">
        <v>406</v>
      </c>
      <c r="AA14" t="s">
        <v>407</v>
      </c>
      <c r="AB14" s="43" t="s">
        <v>45</v>
      </c>
      <c r="AC14" s="43" t="s">
        <v>62</v>
      </c>
      <c r="AD14" s="44" t="s">
        <v>164</v>
      </c>
      <c r="AE14" s="44" t="s">
        <v>404</v>
      </c>
      <c r="AF14" s="43" t="s">
        <v>177</v>
      </c>
    </row>
    <row r="15" spans="3:32" x14ac:dyDescent="0.25">
      <c r="F15" t="s">
        <v>412</v>
      </c>
      <c r="G15" t="s">
        <v>404</v>
      </c>
      <c r="I15" s="44">
        <v>2030</v>
      </c>
      <c r="L15">
        <f>'98 Methanol from Hydrogen'!E10/('98 Methanol from Hydrogen'!$Q$8*1000)</f>
        <v>70.35175879396985</v>
      </c>
      <c r="N15">
        <f>1-0.097</f>
        <v>0.90300000000000002</v>
      </c>
      <c r="O15" s="46">
        <f>O11</f>
        <v>30</v>
      </c>
      <c r="P15" s="16">
        <v>31.536000000000001</v>
      </c>
      <c r="Q15">
        <f>'98 Methanol from Hydrogen'!E25*1000</f>
        <v>1085.427135678392</v>
      </c>
      <c r="R15">
        <v>32</v>
      </c>
      <c r="Y15" s="297"/>
      <c r="Z15" s="297"/>
      <c r="AA15" s="297"/>
      <c r="AB15" s="297"/>
      <c r="AC15" s="297"/>
      <c r="AD15" s="297"/>
      <c r="AE15" s="297"/>
      <c r="AF15" s="297"/>
    </row>
    <row r="16" spans="3:32" x14ac:dyDescent="0.25">
      <c r="F16" t="s">
        <v>122</v>
      </c>
      <c r="I16" s="44">
        <v>2030</v>
      </c>
      <c r="L16">
        <f>'98 Methanol from Hydrogen'!E12/'98 Methanol from Hydrogen'!$Q$5</f>
        <v>1.1577889447236183</v>
      </c>
      <c r="O16" s="46"/>
    </row>
    <row r="17" spans="6:18" x14ac:dyDescent="0.25">
      <c r="F17" t="s">
        <v>41</v>
      </c>
      <c r="I17" s="44">
        <v>2030</v>
      </c>
      <c r="L17">
        <f>'98 Methanol from Hydrogen'!E13/'98 Methanol from Hydrogen'!$Q$5</f>
        <v>1.8090452261306535E-2</v>
      </c>
    </row>
    <row r="18" spans="6:18" x14ac:dyDescent="0.25">
      <c r="H18" s="44" t="s">
        <v>103</v>
      </c>
      <c r="I18" s="44">
        <v>2030</v>
      </c>
      <c r="M18">
        <f>SUM('98 Methanol from Hydrogen'!E17:E18)/'98 Methanol from Hydrogen'!E16</f>
        <v>0.28205128205128205</v>
      </c>
    </row>
    <row r="19" spans="6:18" x14ac:dyDescent="0.25">
      <c r="F19" t="s">
        <v>412</v>
      </c>
      <c r="G19" t="s">
        <v>404</v>
      </c>
      <c r="I19" s="44">
        <v>2040</v>
      </c>
      <c r="L19">
        <f>'98 Methanol from Hydrogen'!F10/('98 Methanol from Hydrogen'!$Q$8*1000)</f>
        <v>70.35175879396985</v>
      </c>
      <c r="N19">
        <f>1-0.097</f>
        <v>0.90300000000000002</v>
      </c>
      <c r="O19" s="46">
        <f>O15</f>
        <v>30</v>
      </c>
      <c r="P19" s="16">
        <v>31.536000000000001</v>
      </c>
      <c r="Q19">
        <f>'98 Methanol from Hydrogen'!F25*1000</f>
        <v>955.17587939698501</v>
      </c>
      <c r="R19">
        <v>32</v>
      </c>
    </row>
    <row r="20" spans="6:18" x14ac:dyDescent="0.25">
      <c r="F20" t="s">
        <v>122</v>
      </c>
      <c r="I20" s="44">
        <v>2040</v>
      </c>
      <c r="L20">
        <f>'98 Methanol from Hydrogen'!F12/'98 Methanol from Hydrogen'!$Q$5</f>
        <v>1.1577889447236183</v>
      </c>
    </row>
    <row r="21" spans="6:18" x14ac:dyDescent="0.25">
      <c r="F21" t="s">
        <v>41</v>
      </c>
      <c r="I21" s="44">
        <v>2040</v>
      </c>
      <c r="L21">
        <f>'98 Methanol from Hydrogen'!F13/'98 Methanol from Hydrogen'!$Q$5</f>
        <v>1.8090452261306535E-2</v>
      </c>
    </row>
    <row r="22" spans="6:18" x14ac:dyDescent="0.25">
      <c r="H22" s="44" t="s">
        <v>103</v>
      </c>
      <c r="I22" s="44">
        <v>2040</v>
      </c>
      <c r="M22">
        <f>SUM('98 Methanol from Hydrogen'!F17:F18)/'98 Methanol from Hydrogen'!F16</f>
        <v>0.28205128205128205</v>
      </c>
    </row>
    <row r="23" spans="6:18" x14ac:dyDescent="0.25">
      <c r="F23" t="s">
        <v>412</v>
      </c>
      <c r="G23" t="s">
        <v>404</v>
      </c>
      <c r="I23" s="44">
        <v>2050</v>
      </c>
      <c r="L23">
        <f>'98 Methanol from Hydrogen'!G10/('98 Methanol from Hydrogen'!$Q$8*1000)</f>
        <v>70.35175879396985</v>
      </c>
      <c r="N23">
        <f>1-0.087</f>
        <v>0.91300000000000003</v>
      </c>
      <c r="O23" s="46">
        <f>O19</f>
        <v>30</v>
      </c>
      <c r="P23" s="16">
        <v>31.536000000000001</v>
      </c>
      <c r="Q23">
        <f>'98 Methanol from Hydrogen'!G25*1000</f>
        <v>868.3417085427136</v>
      </c>
      <c r="R23">
        <v>28</v>
      </c>
    </row>
    <row r="24" spans="6:18" x14ac:dyDescent="0.25">
      <c r="F24" t="s">
        <v>122</v>
      </c>
      <c r="I24" s="44">
        <v>2050</v>
      </c>
      <c r="L24">
        <f>'98 Methanol from Hydrogen'!G12/'98 Methanol from Hydrogen'!$Q$5</f>
        <v>1.1577889447236183</v>
      </c>
    </row>
    <row r="25" spans="6:18" x14ac:dyDescent="0.25">
      <c r="F25" t="s">
        <v>41</v>
      </c>
      <c r="I25" s="44">
        <v>2050</v>
      </c>
      <c r="L25">
        <f>'98 Methanol from Hydrogen'!G13/'98 Methanol from Hydrogen'!$Q$5</f>
        <v>1.8090452261306535E-2</v>
      </c>
    </row>
    <row r="26" spans="6:18" x14ac:dyDescent="0.25">
      <c r="H26" s="44" t="s">
        <v>103</v>
      </c>
      <c r="I26" s="44">
        <v>2050</v>
      </c>
      <c r="M26">
        <f>SUM('98 Methanol from Hydrogen'!G17:G18)/'98 Methanol from Hydrogen'!G16</f>
        <v>0.28205128205128205</v>
      </c>
    </row>
    <row r="37" spans="5:22" ht="13.8" thickBot="1" x14ac:dyDescent="0.3"/>
    <row r="38" spans="5:22" ht="18.600000000000001" thickBot="1" x14ac:dyDescent="0.3">
      <c r="J38" s="285" t="s">
        <v>206</v>
      </c>
      <c r="K38" s="286">
        <v>2020</v>
      </c>
      <c r="L38" s="286">
        <v>2025</v>
      </c>
      <c r="M38" s="286">
        <v>2030</v>
      </c>
      <c r="N38" s="286">
        <v>2040</v>
      </c>
      <c r="O38" s="286">
        <v>2050</v>
      </c>
    </row>
    <row r="39" spans="5:22" ht="18.600000000000001" thickBot="1" x14ac:dyDescent="0.3">
      <c r="J39" s="287" t="s">
        <v>207</v>
      </c>
      <c r="K39" s="288" t="s">
        <v>208</v>
      </c>
      <c r="L39" s="288" t="s">
        <v>208</v>
      </c>
      <c r="M39" s="288" t="s">
        <v>208</v>
      </c>
      <c r="N39" s="288" t="s">
        <v>208</v>
      </c>
      <c r="O39" s="288" t="s">
        <v>208</v>
      </c>
    </row>
    <row r="40" spans="5:22" ht="18.600000000000001" thickBot="1" x14ac:dyDescent="0.3">
      <c r="J40" s="289" t="s">
        <v>211</v>
      </c>
      <c r="K40" s="290"/>
      <c r="L40" s="290"/>
      <c r="M40" s="290"/>
      <c r="N40" s="290"/>
      <c r="O40" s="290"/>
    </row>
    <row r="41" spans="5:22" ht="18.600000000000001" thickBot="1" x14ac:dyDescent="0.3">
      <c r="E41" s="29" t="s">
        <v>373</v>
      </c>
      <c r="J41" s="291" t="s">
        <v>74</v>
      </c>
      <c r="K41" s="290"/>
      <c r="L41" s="290"/>
      <c r="M41" s="290"/>
      <c r="N41" s="290"/>
      <c r="O41" s="290"/>
    </row>
    <row r="42" spans="5:22" ht="21.6" thickBot="1" x14ac:dyDescent="0.3">
      <c r="E42" s="31" t="s">
        <v>374</v>
      </c>
      <c r="J42" s="292" t="s">
        <v>299</v>
      </c>
      <c r="K42" s="293">
        <v>300</v>
      </c>
      <c r="L42" s="293">
        <v>300</v>
      </c>
      <c r="M42" s="293">
        <v>600</v>
      </c>
      <c r="N42" s="293">
        <v>900</v>
      </c>
      <c r="O42" s="293">
        <v>1200</v>
      </c>
    </row>
    <row r="43" spans="5:22" ht="18.600000000000001" thickBot="1" x14ac:dyDescent="0.3">
      <c r="E43" s="131" t="s">
        <v>120</v>
      </c>
      <c r="J43" s="292" t="s">
        <v>300</v>
      </c>
      <c r="K43" s="293">
        <v>69</v>
      </c>
      <c r="L43" s="293">
        <v>69</v>
      </c>
      <c r="M43" s="293">
        <v>138</v>
      </c>
      <c r="N43" s="293">
        <v>207</v>
      </c>
      <c r="O43" s="293">
        <v>276</v>
      </c>
    </row>
    <row r="44" spans="5:22" x14ac:dyDescent="0.25">
      <c r="E44" s="26">
        <v>2</v>
      </c>
    </row>
    <row r="45" spans="5:22" x14ac:dyDescent="0.25">
      <c r="E45" s="26"/>
      <c r="U45">
        <v>300</v>
      </c>
      <c r="V45" s="62" t="s">
        <v>575</v>
      </c>
    </row>
    <row r="46" spans="5:22" x14ac:dyDescent="0.25">
      <c r="U46">
        <v>4000</v>
      </c>
      <c r="V46" s="62" t="s">
        <v>528</v>
      </c>
    </row>
    <row r="47" spans="5:22" x14ac:dyDescent="0.25">
      <c r="M47" s="62"/>
      <c r="P47" s="62"/>
      <c r="U47">
        <v>345486</v>
      </c>
      <c r="V47" s="62" t="s">
        <v>576</v>
      </c>
    </row>
    <row r="48" spans="5:22" x14ac:dyDescent="0.25">
      <c r="E48" s="26"/>
      <c r="M48" s="62"/>
    </row>
    <row r="49" spans="5:26" x14ac:dyDescent="0.25">
      <c r="E49" s="26">
        <v>2</v>
      </c>
      <c r="N49" s="62"/>
      <c r="U49">
        <f>U47*U52</f>
        <v>1.2437495999999999</v>
      </c>
      <c r="V49" s="62" t="s">
        <v>577</v>
      </c>
    </row>
    <row r="50" spans="5:26" x14ac:dyDescent="0.25">
      <c r="E50" s="26"/>
      <c r="M50" s="62"/>
    </row>
    <row r="51" spans="5:26" x14ac:dyDescent="0.25">
      <c r="Q51" s="294"/>
      <c r="R51" s="294"/>
      <c r="S51" s="294"/>
      <c r="U51">
        <v>1</v>
      </c>
      <c r="V51" t="s">
        <v>420</v>
      </c>
    </row>
    <row r="52" spans="5:26" x14ac:dyDescent="0.25">
      <c r="M52" s="62"/>
      <c r="Q52" s="294"/>
      <c r="R52" s="294"/>
      <c r="S52" s="294"/>
      <c r="U52">
        <v>3.5999999999999998E-6</v>
      </c>
      <c r="V52" t="s">
        <v>421</v>
      </c>
    </row>
    <row r="53" spans="5:26" x14ac:dyDescent="0.25">
      <c r="Q53" s="294"/>
      <c r="R53" s="294">
        <f>U46/U49</f>
        <v>3216.0814363276982</v>
      </c>
      <c r="S53" s="295" t="s">
        <v>578</v>
      </c>
    </row>
    <row r="54" spans="5:26" x14ac:dyDescent="0.25">
      <c r="E54" s="26">
        <v>2</v>
      </c>
    </row>
    <row r="55" spans="5:26" x14ac:dyDescent="0.25">
      <c r="J55" s="296" t="s">
        <v>579</v>
      </c>
      <c r="U55" s="62"/>
    </row>
    <row r="57" spans="5:26" x14ac:dyDescent="0.25">
      <c r="U57" s="62"/>
    </row>
    <row r="59" spans="5:26" x14ac:dyDescent="0.25">
      <c r="E59" s="26">
        <v>2</v>
      </c>
    </row>
    <row r="64" spans="5:26" x14ac:dyDescent="0.25">
      <c r="Y64">
        <f>R53*U52</f>
        <v>1.1577893170779712E-2</v>
      </c>
      <c r="Z64" t="s">
        <v>885</v>
      </c>
    </row>
    <row r="66" spans="25:26" x14ac:dyDescent="0.25">
      <c r="Y66">
        <f>Y64*1000</f>
        <v>11.577893170779712</v>
      </c>
      <c r="Z66" t="s">
        <v>886</v>
      </c>
    </row>
    <row r="68" spans="25:26" x14ac:dyDescent="0.25">
      <c r="Y68" s="356">
        <f>Y66*4000</f>
        <v>46311.572683118844</v>
      </c>
      <c r="Z68" s="356" t="s">
        <v>887</v>
      </c>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60"/>
  <sheetViews>
    <sheetView topLeftCell="D1"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411</v>
      </c>
      <c r="AD8" t="s">
        <v>408</v>
      </c>
      <c r="AE8" t="s">
        <v>45</v>
      </c>
      <c r="AF8" s="28"/>
      <c r="AG8" s="61" t="s">
        <v>164</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157</v>
      </c>
      <c r="I10" s="29" t="s">
        <v>5</v>
      </c>
      <c r="J10" s="29" t="s">
        <v>6</v>
      </c>
      <c r="K10" s="29" t="s">
        <v>105</v>
      </c>
      <c r="L10" s="29" t="s">
        <v>61</v>
      </c>
      <c r="M10" s="29" t="s">
        <v>68</v>
      </c>
      <c r="N10" s="29" t="s">
        <v>50</v>
      </c>
      <c r="O10" s="29" t="s">
        <v>106</v>
      </c>
      <c r="P10" s="29" t="s">
        <v>107</v>
      </c>
      <c r="Q10" s="29" t="s">
        <v>57</v>
      </c>
      <c r="R10" s="29" t="s">
        <v>109</v>
      </c>
      <c r="S10" s="29" t="s">
        <v>70</v>
      </c>
      <c r="T10" s="29" t="s">
        <v>48</v>
      </c>
      <c r="U10" s="29" t="s">
        <v>49</v>
      </c>
      <c r="V10" s="29" t="s">
        <v>64</v>
      </c>
    </row>
    <row r="11" spans="6:35" ht="31.8" thickBot="1" x14ac:dyDescent="0.3">
      <c r="F11" s="31" t="s">
        <v>110</v>
      </c>
      <c r="G11" s="31" t="s">
        <v>22</v>
      </c>
      <c r="H11" s="31" t="s">
        <v>158</v>
      </c>
      <c r="I11" s="31" t="s">
        <v>32</v>
      </c>
      <c r="J11" s="31" t="s">
        <v>33</v>
      </c>
      <c r="K11" s="31" t="s">
        <v>111</v>
      </c>
      <c r="L11" s="31"/>
      <c r="M11" s="31"/>
      <c r="N11" s="31" t="s">
        <v>159</v>
      </c>
      <c r="O11" s="31" t="s">
        <v>112</v>
      </c>
      <c r="P11" s="31" t="s">
        <v>113</v>
      </c>
      <c r="Q11" s="31" t="s">
        <v>114</v>
      </c>
      <c r="R11" s="31" t="s">
        <v>115</v>
      </c>
      <c r="S11" s="31" t="s">
        <v>66</v>
      </c>
      <c r="T11" s="31" t="s">
        <v>116</v>
      </c>
      <c r="U11" s="31" t="s">
        <v>55</v>
      </c>
      <c r="V11" s="31" t="s">
        <v>65</v>
      </c>
    </row>
    <row r="12" spans="6:35" ht="13.8" thickBot="1" x14ac:dyDescent="0.3">
      <c r="F12" s="31" t="s">
        <v>117</v>
      </c>
      <c r="G12" s="31"/>
      <c r="H12" s="31"/>
      <c r="I12" s="31"/>
      <c r="J12" s="31"/>
      <c r="K12" s="31"/>
      <c r="L12" s="131"/>
      <c r="M12" s="31"/>
      <c r="N12" s="31" t="s">
        <v>160</v>
      </c>
      <c r="O12" s="31" t="s">
        <v>161</v>
      </c>
      <c r="P12" s="31" t="s">
        <v>161</v>
      </c>
      <c r="Q12" s="31" t="s">
        <v>162</v>
      </c>
      <c r="R12" s="31" t="s">
        <v>120</v>
      </c>
      <c r="S12" s="31" t="s">
        <v>165</v>
      </c>
      <c r="T12" s="131" t="s">
        <v>169</v>
      </c>
      <c r="U12" s="131" t="s">
        <v>169</v>
      </c>
      <c r="V12" s="31" t="s">
        <v>170</v>
      </c>
    </row>
    <row r="13" spans="6:35" ht="15.6" x14ac:dyDescent="0.3">
      <c r="F13" s="192" t="s">
        <v>409</v>
      </c>
      <c r="G13" s="193" t="s">
        <v>410</v>
      </c>
      <c r="I13" t="s">
        <v>122</v>
      </c>
      <c r="J13" t="s">
        <v>411</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AB13" s="27" t="s">
        <v>15</v>
      </c>
      <c r="AC13" s="28"/>
      <c r="AD13" s="28"/>
      <c r="AE13" s="28"/>
      <c r="AF13" s="28"/>
      <c r="AG13" s="28"/>
      <c r="AH13" s="28"/>
      <c r="AI13" s="28"/>
    </row>
    <row r="14" spans="6:35" x14ac:dyDescent="0.25">
      <c r="H14" t="s">
        <v>41</v>
      </c>
      <c r="K14" s="44" t="s">
        <v>103</v>
      </c>
      <c r="L14" s="44">
        <v>2020</v>
      </c>
      <c r="M14" s="44"/>
      <c r="O14">
        <f>'102 Hydrogen to Jet'!B11/'102 Hydrogen to Jet'!B13</f>
        <v>7.6923076923076919E-3</v>
      </c>
      <c r="P14">
        <f>'102 Hydrogen to Jet'!B14/'102 Hydrogen to Jet'!B13</f>
        <v>0.38461538461538458</v>
      </c>
      <c r="R14" s="46"/>
      <c r="AB14" s="29" t="s">
        <v>11</v>
      </c>
      <c r="AC14" s="29" t="s">
        <v>1</v>
      </c>
      <c r="AD14" s="29" t="s">
        <v>2</v>
      </c>
      <c r="AE14" s="29" t="s">
        <v>16</v>
      </c>
      <c r="AF14" s="29" t="s">
        <v>17</v>
      </c>
      <c r="AG14" s="29" t="s">
        <v>18</v>
      </c>
      <c r="AH14" s="29" t="s">
        <v>19</v>
      </c>
      <c r="AI14" s="29" t="s">
        <v>20</v>
      </c>
    </row>
    <row r="15" spans="6:35" ht="42" thickBot="1" x14ac:dyDescent="0.3">
      <c r="H15" t="s">
        <v>412</v>
      </c>
      <c r="L15" s="44">
        <v>2020</v>
      </c>
      <c r="O15">
        <f>'102 Hydrogen to Jet'!B9/('102 Hydrogen to Jet'!$P$13*1000)</f>
        <v>99.953509995350998</v>
      </c>
      <c r="R15" s="46"/>
      <c r="AB15" s="31" t="s">
        <v>35</v>
      </c>
      <c r="AC15" s="31" t="s">
        <v>21</v>
      </c>
      <c r="AD15" s="31" t="s">
        <v>22</v>
      </c>
      <c r="AE15" s="31" t="s">
        <v>23</v>
      </c>
      <c r="AF15" s="31" t="s">
        <v>24</v>
      </c>
      <c r="AG15" s="31" t="s">
        <v>40</v>
      </c>
      <c r="AH15" s="31" t="s">
        <v>39</v>
      </c>
      <c r="AI15" s="31" t="s">
        <v>25</v>
      </c>
    </row>
    <row r="16" spans="6:35" ht="15.6" x14ac:dyDescent="0.3">
      <c r="I16" t="s">
        <v>122</v>
      </c>
      <c r="J16" t="s">
        <v>411</v>
      </c>
      <c r="L16" s="44">
        <v>2030</v>
      </c>
      <c r="N16">
        <f>'102 Hydrogen to Jet'!C13/'102 Hydrogen to Jet'!C10</f>
        <v>0.70351758793969843</v>
      </c>
      <c r="Q16">
        <f>49/52</f>
        <v>0.94230769230769229</v>
      </c>
      <c r="R16" s="46">
        <v>25</v>
      </c>
      <c r="S16" s="16">
        <v>31.536000000000001</v>
      </c>
      <c r="T16">
        <f>'102 Hydrogen to Jet'!C20*1000</f>
        <v>1701.4399999999998</v>
      </c>
      <c r="U16">
        <f>'102 Hydrogen to Jet'!C23/1000*4000</f>
        <v>54.02071999999999</v>
      </c>
      <c r="V16">
        <f>'102 Hydrogen to Jet'!C24/('102 Hydrogen to Jet'!$S$11*1000000)</f>
        <v>1.2406333333333333</v>
      </c>
      <c r="AB16" t="s">
        <v>589</v>
      </c>
      <c r="AC16" s="192" t="s">
        <v>409</v>
      </c>
      <c r="AD16" s="193" t="s">
        <v>410</v>
      </c>
      <c r="AE16" s="43" t="s">
        <v>45</v>
      </c>
      <c r="AF16" s="43" t="s">
        <v>62</v>
      </c>
      <c r="AG16" s="44" t="s">
        <v>164</v>
      </c>
      <c r="AH16" t="s">
        <v>411</v>
      </c>
      <c r="AI16" s="43" t="s">
        <v>177</v>
      </c>
    </row>
    <row r="17" spans="8:22" x14ac:dyDescent="0.25">
      <c r="H17" t="s">
        <v>41</v>
      </c>
      <c r="K17" s="44" t="s">
        <v>103</v>
      </c>
      <c r="L17" s="44">
        <v>2030</v>
      </c>
      <c r="O17">
        <f>'102 Hydrogen to Jet'!C11/'102 Hydrogen to Jet'!C13</f>
        <v>7.1428571428571435E-3</v>
      </c>
      <c r="P17">
        <f>'102 Hydrogen to Jet'!C14/'102 Hydrogen to Jet'!C13</f>
        <v>0.28571428571428575</v>
      </c>
      <c r="R17" s="46"/>
    </row>
    <row r="18" spans="8:22" x14ac:dyDescent="0.25">
      <c r="H18" t="s">
        <v>412</v>
      </c>
      <c r="L18" s="44">
        <v>2030</v>
      </c>
      <c r="O18">
        <f>'102 Hydrogen to Jet'!C9/('102 Hydrogen to Jet'!P13*1000)</f>
        <v>90.655509065550916</v>
      </c>
      <c r="R18" s="46"/>
    </row>
    <row r="19" spans="8:22" x14ac:dyDescent="0.25">
      <c r="I19" t="s">
        <v>122</v>
      </c>
      <c r="J19" t="s">
        <v>411</v>
      </c>
      <c r="L19" s="44">
        <v>2040</v>
      </c>
      <c r="N19">
        <f>'102 Hydrogen to Jet'!D13/'102 Hydrogen to Jet'!D10</f>
        <v>0.73366834170854267</v>
      </c>
      <c r="Q19">
        <f>49/52</f>
        <v>0.94230769230769229</v>
      </c>
      <c r="R19">
        <v>25</v>
      </c>
      <c r="S19" s="16">
        <v>31.536000000000001</v>
      </c>
      <c r="T19">
        <f>'102 Hydrogen to Jet'!D20*1000</f>
        <v>1169.74</v>
      </c>
      <c r="U19">
        <f>'102 Hydrogen to Jet'!D23/1000*4000</f>
        <v>36.1556</v>
      </c>
      <c r="V19">
        <f>'102 Hydrogen to Jet'!D24/('102 Hydrogen to Jet'!$S$11*1000000)</f>
        <v>0.94524444444444444</v>
      </c>
    </row>
    <row r="20" spans="8:22" x14ac:dyDescent="0.25">
      <c r="H20" t="s">
        <v>41</v>
      </c>
      <c r="K20" s="44" t="s">
        <v>103</v>
      </c>
      <c r="L20" s="44">
        <v>2040</v>
      </c>
      <c r="O20">
        <f>'102 Hydrogen to Jet'!D11/'102 Hydrogen to Jet'!D13</f>
        <v>6.8493150684931512E-3</v>
      </c>
      <c r="P20">
        <f>'102 Hydrogen to Jet'!D14/'102 Hydrogen to Jet'!D13</f>
        <v>0.23287671232876714</v>
      </c>
    </row>
    <row r="21" spans="8:22" x14ac:dyDescent="0.25">
      <c r="H21" t="s">
        <v>412</v>
      </c>
      <c r="L21" s="44">
        <v>2040</v>
      </c>
      <c r="O21">
        <f>'102 Hydrogen to Jet'!D9/('102 Hydrogen to Jet'!P13*1000)</f>
        <v>83.68200836820084</v>
      </c>
    </row>
    <row r="22" spans="8:22" x14ac:dyDescent="0.25">
      <c r="I22" t="s">
        <v>122</v>
      </c>
      <c r="J22" t="s">
        <v>411</v>
      </c>
      <c r="L22" s="44">
        <v>2050</v>
      </c>
      <c r="N22">
        <f>'102 Hydrogen to Jet'!E13/'102 Hydrogen to Jet'!E10</f>
        <v>0.75376884422110557</v>
      </c>
      <c r="Q22">
        <f>49/52</f>
        <v>0.94230769230769229</v>
      </c>
      <c r="R22" s="46">
        <v>25</v>
      </c>
      <c r="S22" s="16">
        <v>31.536000000000001</v>
      </c>
      <c r="T22">
        <f>'102 Hydrogen to Jet'!E20*1000</f>
        <v>957.06</v>
      </c>
      <c r="U22">
        <f>'102 Hydrogen to Jet'!E23/1000*4000</f>
        <v>31.47664</v>
      </c>
      <c r="V22">
        <f>'102 Hydrogen to Jet'!E24/('102 Hydrogen to Jet'!$S$11*1000000)</f>
        <v>0.62031666666666663</v>
      </c>
    </row>
    <row r="23" spans="8:22" x14ac:dyDescent="0.25">
      <c r="H23" t="s">
        <v>41</v>
      </c>
      <c r="K23" s="44" t="s">
        <v>103</v>
      </c>
      <c r="L23" s="44">
        <v>2050</v>
      </c>
      <c r="O23">
        <f>'102 Hydrogen to Jet'!E11/'102 Hydrogen to Jet'!E13</f>
        <v>6.6666666666666671E-3</v>
      </c>
      <c r="P23">
        <f>'102 Hydrogen to Jet'!E14/'102 Hydrogen to Jet'!E13</f>
        <v>0.19999999999999998</v>
      </c>
    </row>
    <row r="24" spans="8:22" x14ac:dyDescent="0.25">
      <c r="H24" t="s">
        <v>412</v>
      </c>
      <c r="L24" s="44">
        <v>2050</v>
      </c>
      <c r="O24">
        <f>'102 Hydrogen to Jet'!E9/('102 Hydrogen to Jet'!P13*1000)</f>
        <v>76.708507670850764</v>
      </c>
    </row>
    <row r="26" spans="8:22" x14ac:dyDescent="0.25">
      <c r="L26" s="44"/>
    </row>
    <row r="29" spans="8:22" x14ac:dyDescent="0.25">
      <c r="L29" s="44"/>
    </row>
    <row r="33" spans="9:27" x14ac:dyDescent="0.25">
      <c r="I33" s="29" t="s">
        <v>373</v>
      </c>
    </row>
    <row r="34" spans="9:27" ht="21.6" thickBot="1" x14ac:dyDescent="0.3">
      <c r="I34" s="31" t="s">
        <v>374</v>
      </c>
    </row>
    <row r="35" spans="9:27" x14ac:dyDescent="0.25">
      <c r="I35" s="131" t="s">
        <v>120</v>
      </c>
      <c r="U35" s="62" t="s">
        <v>583</v>
      </c>
      <c r="V35">
        <v>0.754</v>
      </c>
      <c r="W35" s="62" t="s">
        <v>584</v>
      </c>
      <c r="Z35">
        <v>20</v>
      </c>
      <c r="AA35" s="62" t="s">
        <v>585</v>
      </c>
    </row>
    <row r="36" spans="9:27" x14ac:dyDescent="0.25">
      <c r="I36" s="26">
        <v>2</v>
      </c>
      <c r="V36">
        <v>754</v>
      </c>
      <c r="W36" s="62" t="s">
        <v>586</v>
      </c>
    </row>
    <row r="37" spans="9:27" x14ac:dyDescent="0.25">
      <c r="I37" s="26"/>
      <c r="P37">
        <v>4800</v>
      </c>
      <c r="Q37" s="62" t="s">
        <v>581</v>
      </c>
    </row>
    <row r="38" spans="9:27" x14ac:dyDescent="0.25">
      <c r="I38" s="26"/>
    </row>
    <row r="39" spans="9:27" x14ac:dyDescent="0.25">
      <c r="I39" s="26"/>
      <c r="O39">
        <v>1</v>
      </c>
      <c r="P39" s="62" t="s">
        <v>581</v>
      </c>
      <c r="W39">
        <v>1E-3</v>
      </c>
      <c r="X39" s="62" t="s">
        <v>580</v>
      </c>
    </row>
    <row r="40" spans="9:27" x14ac:dyDescent="0.25">
      <c r="I40" s="26">
        <v>2</v>
      </c>
      <c r="O40">
        <v>0.159</v>
      </c>
      <c r="P40" s="62" t="s">
        <v>582</v>
      </c>
    </row>
    <row r="41" spans="9:27" x14ac:dyDescent="0.25">
      <c r="I41" s="26"/>
    </row>
    <row r="42" spans="9:27" x14ac:dyDescent="0.25">
      <c r="I42" s="26"/>
      <c r="W42">
        <f>W39*10000*1000</f>
        <v>10000</v>
      </c>
    </row>
    <row r="43" spans="9:27" x14ac:dyDescent="0.25">
      <c r="I43" s="26"/>
      <c r="P43">
        <f>P37*O40</f>
        <v>763.2</v>
      </c>
      <c r="Q43" s="62" t="s">
        <v>582</v>
      </c>
      <c r="Z43">
        <f>Z35*10000/V47</f>
        <v>22133.852811331566</v>
      </c>
      <c r="AA43" s="62" t="s">
        <v>578</v>
      </c>
    </row>
    <row r="44" spans="9:27" x14ac:dyDescent="0.25">
      <c r="I44">
        <v>2</v>
      </c>
      <c r="S44">
        <f>P43*V36</f>
        <v>575452.80000000005</v>
      </c>
    </row>
    <row r="45" spans="9:27" x14ac:dyDescent="0.25">
      <c r="S45">
        <f>S44/1000</f>
        <v>575.45280000000002</v>
      </c>
      <c r="T45" s="62" t="s">
        <v>575</v>
      </c>
    </row>
    <row r="47" spans="9:27" x14ac:dyDescent="0.25">
      <c r="V47">
        <f>R50*S45*365</f>
        <v>9.0359325014399996</v>
      </c>
      <c r="W47" s="62" t="s">
        <v>587</v>
      </c>
    </row>
    <row r="48" spans="9:27" x14ac:dyDescent="0.25">
      <c r="I48">
        <v>2</v>
      </c>
      <c r="Z48">
        <v>1494.8901935203305</v>
      </c>
      <c r="AA48" t="s">
        <v>570</v>
      </c>
    </row>
    <row r="49" spans="18:26" x14ac:dyDescent="0.25">
      <c r="Z49" t="s">
        <v>879</v>
      </c>
    </row>
    <row r="50" spans="18:26" x14ac:dyDescent="0.25">
      <c r="R50">
        <v>4.3019999999999998E-5</v>
      </c>
      <c r="S50" t="s">
        <v>422</v>
      </c>
    </row>
    <row r="53" spans="18:26" x14ac:dyDescent="0.25">
      <c r="X53">
        <v>4127</v>
      </c>
      <c r="Y53" t="s">
        <v>578</v>
      </c>
    </row>
    <row r="56" spans="18:26" x14ac:dyDescent="0.25">
      <c r="X56">
        <f>X53*0.0000036</f>
        <v>1.4857199999999999E-2</v>
      </c>
      <c r="Y56" t="s">
        <v>885</v>
      </c>
    </row>
    <row r="58" spans="18:26" x14ac:dyDescent="0.25">
      <c r="X58">
        <f>X56*1000</f>
        <v>14.857199999999999</v>
      </c>
    </row>
    <row r="60" spans="18:26" x14ac:dyDescent="0.25">
      <c r="X60" s="356">
        <f>X58*4000</f>
        <v>59428.799999999996</v>
      </c>
      <c r="Y60" s="356" t="s">
        <v>887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8"/>
  <sheetViews>
    <sheetView zoomScale="54" workbookViewId="0">
      <selection activeCell="V22" sqref="V22:V28"/>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157</v>
      </c>
      <c r="G9" s="29" t="s">
        <v>5</v>
      </c>
      <c r="H9" s="29" t="s">
        <v>6</v>
      </c>
      <c r="I9" s="29" t="s">
        <v>105</v>
      </c>
      <c r="J9" s="29" t="s">
        <v>61</v>
      </c>
      <c r="K9" s="29" t="s">
        <v>68</v>
      </c>
      <c r="L9" s="29" t="s">
        <v>50</v>
      </c>
      <c r="M9" s="29" t="s">
        <v>106</v>
      </c>
      <c r="N9" s="29" t="s">
        <v>107</v>
      </c>
      <c r="O9" s="29" t="s">
        <v>57</v>
      </c>
      <c r="P9" s="29" t="s">
        <v>109</v>
      </c>
      <c r="Q9" s="29" t="s">
        <v>70</v>
      </c>
      <c r="R9" s="29" t="s">
        <v>48</v>
      </c>
      <c r="S9" s="29" t="s">
        <v>49</v>
      </c>
      <c r="T9" s="29" t="s">
        <v>64</v>
      </c>
      <c r="AD9" s="29" t="s">
        <v>7</v>
      </c>
      <c r="AE9" s="29" t="s">
        <v>0</v>
      </c>
      <c r="AF9" s="29" t="s">
        <v>3</v>
      </c>
      <c r="AG9" s="29" t="s">
        <v>4</v>
      </c>
      <c r="AH9" s="29" t="s">
        <v>8</v>
      </c>
      <c r="AI9" s="29" t="s">
        <v>9</v>
      </c>
      <c r="AJ9" s="29" t="s">
        <v>10</v>
      </c>
      <c r="AK9" s="29" t="s">
        <v>12</v>
      </c>
    </row>
    <row r="10" spans="4:37" ht="31.8" thickBot="1" x14ac:dyDescent="0.3">
      <c r="D10" s="31" t="s">
        <v>110</v>
      </c>
      <c r="E10" s="31" t="s">
        <v>22</v>
      </c>
      <c r="F10" s="31" t="s">
        <v>158</v>
      </c>
      <c r="G10" s="31" t="s">
        <v>32</v>
      </c>
      <c r="H10" s="31" t="s">
        <v>33</v>
      </c>
      <c r="I10" s="31" t="s">
        <v>111</v>
      </c>
      <c r="J10" s="31"/>
      <c r="K10" s="31"/>
      <c r="L10" s="31" t="s">
        <v>159</v>
      </c>
      <c r="M10" s="31" t="s">
        <v>112</v>
      </c>
      <c r="N10" s="31" t="s">
        <v>113</v>
      </c>
      <c r="O10" s="31" t="s">
        <v>114</v>
      </c>
      <c r="P10" s="31" t="s">
        <v>115</v>
      </c>
      <c r="Q10" s="31" t="s">
        <v>66</v>
      </c>
      <c r="R10" s="31" t="s">
        <v>116</v>
      </c>
      <c r="S10" s="31" t="s">
        <v>55</v>
      </c>
      <c r="T10" s="31" t="s">
        <v>65</v>
      </c>
      <c r="AD10" s="31" t="s">
        <v>34</v>
      </c>
      <c r="AE10" s="31" t="s">
        <v>26</v>
      </c>
      <c r="AF10" s="31" t="s">
        <v>27</v>
      </c>
      <c r="AG10" s="31" t="s">
        <v>4</v>
      </c>
      <c r="AH10" s="31" t="s">
        <v>37</v>
      </c>
      <c r="AI10" s="31" t="s">
        <v>38</v>
      </c>
      <c r="AJ10" s="31" t="s">
        <v>28</v>
      </c>
      <c r="AK10" s="31" t="s">
        <v>29</v>
      </c>
    </row>
    <row r="11" spans="4:37" ht="13.8" thickBot="1" x14ac:dyDescent="0.3">
      <c r="D11" s="31" t="s">
        <v>117</v>
      </c>
      <c r="E11" s="31"/>
      <c r="F11" s="31"/>
      <c r="G11" s="31"/>
      <c r="H11" s="31"/>
      <c r="I11" s="31"/>
      <c r="J11" s="31"/>
      <c r="K11" s="31"/>
      <c r="L11" s="31" t="s">
        <v>160</v>
      </c>
      <c r="M11" s="31" t="s">
        <v>161</v>
      </c>
      <c r="N11" s="31" t="s">
        <v>161</v>
      </c>
      <c r="O11" s="31" t="s">
        <v>162</v>
      </c>
      <c r="P11" s="31" t="s">
        <v>120</v>
      </c>
      <c r="Q11" s="31" t="s">
        <v>165</v>
      </c>
      <c r="R11" s="131" t="s">
        <v>169</v>
      </c>
      <c r="S11" s="131" t="s">
        <v>169</v>
      </c>
      <c r="T11" s="31" t="s">
        <v>170</v>
      </c>
      <c r="AD11" t="s">
        <v>44</v>
      </c>
      <c r="AE11" s="44" t="s">
        <v>590</v>
      </c>
      <c r="AF11" t="s">
        <v>591</v>
      </c>
      <c r="AG11" t="s">
        <v>45</v>
      </c>
      <c r="AI11" t="s">
        <v>164</v>
      </c>
    </row>
    <row r="12" spans="4:37" ht="13.8" x14ac:dyDescent="0.25">
      <c r="D12" s="192" t="s">
        <v>429</v>
      </c>
      <c r="E12" t="s">
        <v>428</v>
      </c>
      <c r="G12" t="s">
        <v>41</v>
      </c>
      <c r="H12" s="44" t="s">
        <v>590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row>
    <row r="16" spans="4:37" x14ac:dyDescent="0.25">
      <c r="AD16" s="27" t="s">
        <v>15</v>
      </c>
      <c r="AE16" s="28"/>
      <c r="AF16" s="28"/>
      <c r="AG16" s="28"/>
      <c r="AH16" s="28"/>
      <c r="AI16" s="28"/>
      <c r="AJ16" s="28"/>
      <c r="AK16" s="28"/>
    </row>
    <row r="17" spans="22:37" x14ac:dyDescent="0.25">
      <c r="AD17" s="29" t="s">
        <v>11</v>
      </c>
      <c r="AE17" s="29" t="s">
        <v>1</v>
      </c>
      <c r="AF17" s="29" t="s">
        <v>2</v>
      </c>
      <c r="AG17" s="29" t="s">
        <v>16</v>
      </c>
      <c r="AH17" s="29" t="s">
        <v>17</v>
      </c>
      <c r="AI17" s="29" t="s">
        <v>18</v>
      </c>
      <c r="AJ17" s="29" t="s">
        <v>19</v>
      </c>
      <c r="AK17" s="29" t="s">
        <v>20</v>
      </c>
    </row>
    <row r="18" spans="22:37" ht="42" thickBot="1" x14ac:dyDescent="0.3">
      <c r="AD18" s="31" t="s">
        <v>35</v>
      </c>
      <c r="AE18" s="31" t="s">
        <v>21</v>
      </c>
      <c r="AF18" s="31" t="s">
        <v>22</v>
      </c>
      <c r="AG18" s="31" t="s">
        <v>23</v>
      </c>
      <c r="AH18" s="31" t="s">
        <v>24</v>
      </c>
      <c r="AI18" s="31" t="s">
        <v>40</v>
      </c>
      <c r="AJ18" s="31" t="s">
        <v>39</v>
      </c>
      <c r="AK18" s="31" t="s">
        <v>25</v>
      </c>
    </row>
    <row r="19" spans="22:37" ht="13.8" thickBot="1" x14ac:dyDescent="0.3">
      <c r="AD19" s="31" t="s">
        <v>47</v>
      </c>
      <c r="AE19" s="31"/>
      <c r="AF19" s="31"/>
      <c r="AG19" s="31"/>
      <c r="AH19" s="31"/>
      <c r="AI19" s="31"/>
      <c r="AJ19" s="31"/>
      <c r="AK19" s="31"/>
    </row>
    <row r="20" spans="22:37" ht="13.8" x14ac:dyDescent="0.25">
      <c r="AD20" t="s">
        <v>60</v>
      </c>
      <c r="AE20" s="192" t="s">
        <v>429</v>
      </c>
      <c r="AF20" t="s">
        <v>428</v>
      </c>
      <c r="AG20" s="43" t="s">
        <v>45</v>
      </c>
      <c r="AH20" s="43" t="s">
        <v>62</v>
      </c>
      <c r="AI20" s="44" t="s">
        <v>164</v>
      </c>
      <c r="AJ20" s="44" t="s">
        <v>590</v>
      </c>
      <c r="AK20" s="43" t="s">
        <v>177</v>
      </c>
    </row>
    <row r="22" spans="22:37" x14ac:dyDescent="0.25">
      <c r="V22" s="29" t="s">
        <v>373</v>
      </c>
    </row>
    <row r="23" spans="22:37" ht="21.6" thickBot="1" x14ac:dyDescent="0.3">
      <c r="V23" s="31" t="s">
        <v>374</v>
      </c>
    </row>
    <row r="24" spans="22:37" x14ac:dyDescent="0.25">
      <c r="V24" s="131" t="s">
        <v>120</v>
      </c>
    </row>
    <row r="25" spans="22:37" x14ac:dyDescent="0.25">
      <c r="V25">
        <v>0.5</v>
      </c>
    </row>
    <row r="26" spans="22:37" x14ac:dyDescent="0.25">
      <c r="V26">
        <v>0.5</v>
      </c>
    </row>
    <row r="27" spans="22:37" x14ac:dyDescent="0.25">
      <c r="V27">
        <v>0.5</v>
      </c>
    </row>
    <row r="28" spans="22:37" x14ac:dyDescent="0.25">
      <c r="V28">
        <v>0.5</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24"/>
  <sheetViews>
    <sheetView topLeftCell="A57" zoomScale="64" workbookViewId="0">
      <selection activeCell="K94" sqref="K94"/>
    </sheetView>
  </sheetViews>
  <sheetFormatPr defaultRowHeight="13.2" x14ac:dyDescent="0.25"/>
  <cols>
    <col min="3" max="3" width="12.109375" bestFit="1" customWidth="1"/>
    <col min="5" max="5" width="10" bestFit="1" customWidth="1"/>
    <col min="6" max="6" width="15.4414062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599</v>
      </c>
      <c r="G4" t="s">
        <v>624</v>
      </c>
      <c r="H4" s="32" t="s">
        <v>45</v>
      </c>
      <c r="I4" s="32" t="s">
        <v>164</v>
      </c>
      <c r="J4" s="32"/>
      <c r="K4" s="32"/>
    </row>
    <row r="5" spans="2:29" x14ac:dyDescent="0.25">
      <c r="B5" s="62"/>
      <c r="E5" s="32" t="s">
        <v>43</v>
      </c>
      <c r="F5" t="s">
        <v>600</v>
      </c>
      <c r="G5" t="s">
        <v>625</v>
      </c>
      <c r="H5" s="32" t="s">
        <v>45</v>
      </c>
      <c r="I5" s="32" t="s">
        <v>164</v>
      </c>
      <c r="J5" s="32"/>
      <c r="K5" s="32"/>
    </row>
    <row r="6" spans="2:29" x14ac:dyDescent="0.25">
      <c r="B6" s="62"/>
      <c r="E6" s="32" t="s">
        <v>43</v>
      </c>
      <c r="F6" t="s">
        <v>601</v>
      </c>
      <c r="G6" t="s">
        <v>626</v>
      </c>
      <c r="H6" s="32" t="s">
        <v>45</v>
      </c>
      <c r="I6" s="32" t="s">
        <v>164</v>
      </c>
      <c r="J6" s="32"/>
      <c r="K6" s="32"/>
    </row>
    <row r="7" spans="2:29" x14ac:dyDescent="0.25">
      <c r="E7" s="32" t="s">
        <v>43</v>
      </c>
      <c r="F7" t="s">
        <v>602</v>
      </c>
      <c r="G7" t="s">
        <v>627</v>
      </c>
      <c r="H7" s="32" t="s">
        <v>45</v>
      </c>
      <c r="I7" s="32" t="s">
        <v>164</v>
      </c>
    </row>
    <row r="8" spans="2:29" x14ac:dyDescent="0.25">
      <c r="E8" s="32" t="s">
        <v>43</v>
      </c>
      <c r="F8" t="s">
        <v>603</v>
      </c>
      <c r="G8" t="s">
        <v>628</v>
      </c>
      <c r="H8" s="32" t="s">
        <v>45</v>
      </c>
      <c r="I8" s="32" t="s">
        <v>164</v>
      </c>
    </row>
    <row r="9" spans="2:29" ht="14.4" x14ac:dyDescent="0.3">
      <c r="E9" s="32" t="s">
        <v>43</v>
      </c>
      <c r="F9" s="32" t="s">
        <v>604</v>
      </c>
      <c r="G9" t="s">
        <v>629</v>
      </c>
      <c r="H9" s="32" t="s">
        <v>45</v>
      </c>
      <c r="I9" s="32" t="s">
        <v>164</v>
      </c>
      <c r="J9" s="32"/>
      <c r="K9" s="32"/>
      <c r="AB9" s="301"/>
      <c r="AC9" s="302"/>
    </row>
    <row r="10" spans="2:29" ht="14.4" x14ac:dyDescent="0.3">
      <c r="E10" s="32" t="s">
        <v>43</v>
      </c>
      <c r="F10" t="s">
        <v>605</v>
      </c>
      <c r="G10" t="s">
        <v>630</v>
      </c>
      <c r="H10" s="32" t="s">
        <v>45</v>
      </c>
      <c r="I10" s="32" t="s">
        <v>164</v>
      </c>
      <c r="J10" s="32"/>
      <c r="K10" s="32"/>
      <c r="AB10" s="301"/>
      <c r="AC10" s="302"/>
    </row>
    <row r="11" spans="2:29" ht="14.4" x14ac:dyDescent="0.3">
      <c r="E11" s="32" t="s">
        <v>43</v>
      </c>
      <c r="F11" t="s">
        <v>606</v>
      </c>
      <c r="G11" t="s">
        <v>631</v>
      </c>
      <c r="H11" s="32" t="s">
        <v>45</v>
      </c>
      <c r="I11" s="32" t="s">
        <v>164</v>
      </c>
      <c r="J11" s="32"/>
      <c r="K11" s="32"/>
      <c r="AB11" s="301"/>
      <c r="AC11" s="302"/>
    </row>
    <row r="12" spans="2:29" ht="14.4" x14ac:dyDescent="0.3">
      <c r="E12" s="32" t="s">
        <v>43</v>
      </c>
      <c r="F12" t="s">
        <v>607</v>
      </c>
      <c r="G12" t="s">
        <v>632</v>
      </c>
      <c r="H12" s="32" t="s">
        <v>45</v>
      </c>
      <c r="I12" s="32" t="s">
        <v>164</v>
      </c>
      <c r="AB12" s="301"/>
      <c r="AC12" s="302"/>
    </row>
    <row r="13" spans="2:29" ht="14.4" x14ac:dyDescent="0.3">
      <c r="E13" s="32" t="s">
        <v>43</v>
      </c>
      <c r="F13" t="s">
        <v>608</v>
      </c>
      <c r="G13" t="s">
        <v>633</v>
      </c>
      <c r="H13" s="32" t="s">
        <v>45</v>
      </c>
      <c r="I13" s="32" t="s">
        <v>164</v>
      </c>
      <c r="AB13" s="301"/>
      <c r="AC13" s="302"/>
    </row>
    <row r="14" spans="2:29" ht="14.4" x14ac:dyDescent="0.3">
      <c r="E14" s="32" t="s">
        <v>43</v>
      </c>
      <c r="F14" s="32" t="s">
        <v>609</v>
      </c>
      <c r="G14" t="s">
        <v>634</v>
      </c>
      <c r="H14" s="32" t="s">
        <v>45</v>
      </c>
      <c r="I14" s="32" t="s">
        <v>164</v>
      </c>
      <c r="J14" s="32"/>
      <c r="K14" s="32"/>
      <c r="AB14" s="301"/>
      <c r="AC14" s="302"/>
    </row>
    <row r="15" spans="2:29" ht="14.4" x14ac:dyDescent="0.3">
      <c r="E15" s="32" t="s">
        <v>43</v>
      </c>
      <c r="F15" t="s">
        <v>610</v>
      </c>
      <c r="G15" t="s">
        <v>635</v>
      </c>
      <c r="H15" s="32" t="s">
        <v>45</v>
      </c>
      <c r="I15" s="32" t="s">
        <v>164</v>
      </c>
      <c r="J15" s="32"/>
      <c r="K15" s="32"/>
      <c r="AB15" s="301"/>
      <c r="AC15" s="302"/>
    </row>
    <row r="16" spans="2:29" ht="14.4" x14ac:dyDescent="0.3">
      <c r="E16" s="32" t="s">
        <v>43</v>
      </c>
      <c r="F16" t="s">
        <v>611</v>
      </c>
      <c r="G16" t="s">
        <v>636</v>
      </c>
      <c r="H16" s="32" t="s">
        <v>45</v>
      </c>
      <c r="I16" s="32" t="s">
        <v>164</v>
      </c>
      <c r="J16" s="32"/>
      <c r="K16" s="32"/>
      <c r="AB16" s="301"/>
      <c r="AC16" s="302"/>
    </row>
    <row r="17" spans="5:29" ht="14.4" x14ac:dyDescent="0.3">
      <c r="E17" s="32" t="s">
        <v>43</v>
      </c>
      <c r="F17" t="s">
        <v>612</v>
      </c>
      <c r="G17" t="s">
        <v>637</v>
      </c>
      <c r="H17" s="32" t="s">
        <v>45</v>
      </c>
      <c r="I17" s="32" t="s">
        <v>164</v>
      </c>
      <c r="AB17" s="301"/>
      <c r="AC17" s="302"/>
    </row>
    <row r="18" spans="5:29" ht="14.4" x14ac:dyDescent="0.3">
      <c r="E18" s="32" t="s">
        <v>43</v>
      </c>
      <c r="F18" t="s">
        <v>613</v>
      </c>
      <c r="G18" t="s">
        <v>638</v>
      </c>
      <c r="H18" s="32" t="s">
        <v>45</v>
      </c>
      <c r="I18" s="32" t="s">
        <v>164</v>
      </c>
      <c r="AB18" s="301"/>
      <c r="AC18" s="302"/>
    </row>
    <row r="19" spans="5:29" ht="14.4" x14ac:dyDescent="0.3">
      <c r="E19" s="32" t="s">
        <v>43</v>
      </c>
      <c r="F19" s="32" t="s">
        <v>614</v>
      </c>
      <c r="G19" t="s">
        <v>639</v>
      </c>
      <c r="H19" s="32" t="s">
        <v>45</v>
      </c>
      <c r="I19" s="32" t="s">
        <v>164</v>
      </c>
      <c r="J19" s="32"/>
      <c r="K19" s="32"/>
      <c r="AB19" s="301"/>
      <c r="AC19" s="302"/>
    </row>
    <row r="20" spans="5:29" ht="14.4" x14ac:dyDescent="0.3">
      <c r="E20" s="32" t="s">
        <v>43</v>
      </c>
      <c r="F20" t="s">
        <v>615</v>
      </c>
      <c r="G20" t="s">
        <v>640</v>
      </c>
      <c r="H20" s="32" t="s">
        <v>45</v>
      </c>
      <c r="I20" s="32" t="s">
        <v>164</v>
      </c>
      <c r="J20" s="32"/>
      <c r="K20" s="32"/>
      <c r="AB20" s="301"/>
      <c r="AC20" s="302"/>
    </row>
    <row r="21" spans="5:29" ht="14.4" x14ac:dyDescent="0.3">
      <c r="E21" s="32" t="s">
        <v>43</v>
      </c>
      <c r="F21" t="s">
        <v>616</v>
      </c>
      <c r="G21" t="s">
        <v>641</v>
      </c>
      <c r="H21" s="32" t="s">
        <v>45</v>
      </c>
      <c r="I21" s="32" t="s">
        <v>164</v>
      </c>
      <c r="J21" s="32"/>
      <c r="K21" s="32"/>
      <c r="AB21" s="301"/>
      <c r="AC21" s="302"/>
    </row>
    <row r="22" spans="5:29" ht="14.4" x14ac:dyDescent="0.3">
      <c r="E22" s="32" t="s">
        <v>43</v>
      </c>
      <c r="F22" t="s">
        <v>617</v>
      </c>
      <c r="G22" t="s">
        <v>642</v>
      </c>
      <c r="H22" s="32" t="s">
        <v>45</v>
      </c>
      <c r="I22" s="32" t="s">
        <v>164</v>
      </c>
      <c r="AB22" s="301"/>
      <c r="AC22" s="302"/>
    </row>
    <row r="23" spans="5:29" x14ac:dyDescent="0.25">
      <c r="E23" s="32" t="s">
        <v>43</v>
      </c>
      <c r="F23" t="s">
        <v>618</v>
      </c>
      <c r="G23" t="s">
        <v>643</v>
      </c>
      <c r="H23" s="32" t="s">
        <v>45</v>
      </c>
      <c r="I23" s="32" t="s">
        <v>164</v>
      </c>
    </row>
    <row r="24" spans="5:29" x14ac:dyDescent="0.25">
      <c r="E24" s="32" t="s">
        <v>43</v>
      </c>
      <c r="F24" s="32" t="s">
        <v>619</v>
      </c>
      <c r="G24" t="s">
        <v>644</v>
      </c>
      <c r="H24" s="32" t="s">
        <v>45</v>
      </c>
      <c r="I24" s="32" t="s">
        <v>164</v>
      </c>
      <c r="J24" s="32"/>
      <c r="K24" s="32"/>
    </row>
    <row r="25" spans="5:29" x14ac:dyDescent="0.25">
      <c r="E25" s="32" t="s">
        <v>43</v>
      </c>
      <c r="F25" t="s">
        <v>620</v>
      </c>
      <c r="G25" t="s">
        <v>645</v>
      </c>
      <c r="H25" s="32" t="s">
        <v>45</v>
      </c>
      <c r="I25" s="32" t="s">
        <v>164</v>
      </c>
      <c r="J25" s="32"/>
      <c r="K25" s="32"/>
    </row>
    <row r="26" spans="5:29" x14ac:dyDescent="0.25">
      <c r="E26" s="32" t="s">
        <v>43</v>
      </c>
      <c r="F26" t="s">
        <v>621</v>
      </c>
      <c r="G26" t="s">
        <v>646</v>
      </c>
      <c r="H26" s="32" t="s">
        <v>45</v>
      </c>
      <c r="I26" s="32" t="s">
        <v>164</v>
      </c>
      <c r="J26" s="32"/>
      <c r="K26" s="32"/>
    </row>
    <row r="27" spans="5:29" x14ac:dyDescent="0.25">
      <c r="E27" s="32" t="s">
        <v>43</v>
      </c>
      <c r="F27" t="s">
        <v>622</v>
      </c>
      <c r="G27" t="s">
        <v>647</v>
      </c>
      <c r="H27" s="32" t="s">
        <v>45</v>
      </c>
      <c r="I27" s="32" t="s">
        <v>164</v>
      </c>
    </row>
    <row r="28" spans="5:29" x14ac:dyDescent="0.25">
      <c r="E28" s="32" t="s">
        <v>43</v>
      </c>
      <c r="F28" t="s">
        <v>623</v>
      </c>
      <c r="G28" t="s">
        <v>648</v>
      </c>
      <c r="H28" s="32" t="s">
        <v>45</v>
      </c>
      <c r="I28" s="32" t="s">
        <v>164</v>
      </c>
    </row>
    <row r="29" spans="5:29" x14ac:dyDescent="0.25">
      <c r="E29" s="32" t="s">
        <v>43</v>
      </c>
      <c r="F29" s="32" t="s">
        <v>859</v>
      </c>
      <c r="G29" t="s">
        <v>864</v>
      </c>
      <c r="H29" s="32" t="s">
        <v>45</v>
      </c>
      <c r="I29" s="32" t="s">
        <v>164</v>
      </c>
    </row>
    <row r="30" spans="5:29" x14ac:dyDescent="0.25">
      <c r="E30" s="32" t="s">
        <v>43</v>
      </c>
      <c r="F30" t="s">
        <v>860</v>
      </c>
      <c r="G30" t="s">
        <v>865</v>
      </c>
      <c r="H30" s="32" t="s">
        <v>45</v>
      </c>
      <c r="I30" s="32" t="s">
        <v>164</v>
      </c>
    </row>
    <row r="31" spans="5:29" x14ac:dyDescent="0.25">
      <c r="E31" s="32" t="s">
        <v>43</v>
      </c>
      <c r="F31" t="s">
        <v>861</v>
      </c>
      <c r="G31" t="s">
        <v>866</v>
      </c>
      <c r="H31" s="32" t="s">
        <v>45</v>
      </c>
      <c r="I31" s="32" t="s">
        <v>164</v>
      </c>
    </row>
    <row r="32" spans="5:29" x14ac:dyDescent="0.25">
      <c r="E32" s="32" t="s">
        <v>43</v>
      </c>
      <c r="F32" t="s">
        <v>862</v>
      </c>
      <c r="G32" t="s">
        <v>867</v>
      </c>
      <c r="H32" s="32" t="s">
        <v>45</v>
      </c>
      <c r="I32" s="32" t="s">
        <v>164</v>
      </c>
    </row>
    <row r="33" spans="5:25" x14ac:dyDescent="0.25">
      <c r="E33" s="32" t="s">
        <v>43</v>
      </c>
      <c r="F33" t="s">
        <v>863</v>
      </c>
      <c r="G33" t="s">
        <v>868</v>
      </c>
      <c r="H33" s="32" t="s">
        <v>45</v>
      </c>
      <c r="I33" s="32" t="s">
        <v>164</v>
      </c>
    </row>
    <row r="34" spans="5:25" x14ac:dyDescent="0.25">
      <c r="E34" s="32" t="s">
        <v>182</v>
      </c>
      <c r="F34" t="s">
        <v>497</v>
      </c>
      <c r="G34" t="s">
        <v>499</v>
      </c>
      <c r="H34" s="32" t="s">
        <v>417</v>
      </c>
      <c r="I34" s="32"/>
    </row>
    <row r="35" spans="5:25" x14ac:dyDescent="0.25">
      <c r="E35" s="32" t="s">
        <v>182</v>
      </c>
      <c r="F35" t="s">
        <v>498</v>
      </c>
      <c r="G35" t="s">
        <v>500</v>
      </c>
      <c r="H35" s="32" t="s">
        <v>45</v>
      </c>
      <c r="I35" s="32"/>
    </row>
    <row r="36" spans="5:25" x14ac:dyDescent="0.25">
      <c r="E36" s="32" t="s">
        <v>182</v>
      </c>
      <c r="F36" s="62" t="s">
        <v>552</v>
      </c>
      <c r="G36" s="62" t="s">
        <v>556</v>
      </c>
      <c r="H36" t="s">
        <v>538</v>
      </c>
    </row>
    <row r="37" spans="5:25" x14ac:dyDescent="0.25">
      <c r="E37" s="32" t="s">
        <v>182</v>
      </c>
      <c r="F37" s="62" t="s">
        <v>553</v>
      </c>
      <c r="G37" s="62" t="s">
        <v>557</v>
      </c>
      <c r="H37" t="s">
        <v>539</v>
      </c>
    </row>
    <row r="38" spans="5:25" x14ac:dyDescent="0.25">
      <c r="E38" s="32" t="s">
        <v>182</v>
      </c>
      <c r="F38" s="62" t="s">
        <v>554</v>
      </c>
      <c r="G38" s="62" t="s">
        <v>558</v>
      </c>
      <c r="H38" t="s">
        <v>538</v>
      </c>
    </row>
    <row r="39" spans="5:25" x14ac:dyDescent="0.25">
      <c r="E39" s="32" t="s">
        <v>182</v>
      </c>
      <c r="F39" s="62" t="s">
        <v>555</v>
      </c>
      <c r="G39" s="62" t="s">
        <v>559</v>
      </c>
      <c r="H39" t="s">
        <v>538</v>
      </c>
    </row>
    <row r="40" spans="5:25" x14ac:dyDescent="0.25">
      <c r="R40" s="27" t="s">
        <v>14</v>
      </c>
      <c r="S40" s="61"/>
      <c r="T40" s="61"/>
      <c r="U40" s="61"/>
      <c r="V40" s="61"/>
      <c r="W40" s="61"/>
      <c r="X40" s="61"/>
      <c r="Y40" s="61"/>
    </row>
    <row r="41" spans="5:25" x14ac:dyDescent="0.25">
      <c r="R41" s="29" t="s">
        <v>7</v>
      </c>
      <c r="S41" s="29" t="s">
        <v>0</v>
      </c>
      <c r="T41" s="29" t="s">
        <v>3</v>
      </c>
      <c r="U41" s="29" t="s">
        <v>4</v>
      </c>
      <c r="V41" s="29" t="s">
        <v>8</v>
      </c>
      <c r="W41" s="29" t="s">
        <v>9</v>
      </c>
      <c r="X41" s="29" t="s">
        <v>10</v>
      </c>
      <c r="Y41" s="29" t="s">
        <v>12</v>
      </c>
    </row>
    <row r="42" spans="5:25" ht="31.8" thickBot="1" x14ac:dyDescent="0.3">
      <c r="R42" s="31" t="s">
        <v>34</v>
      </c>
      <c r="S42" s="31" t="s">
        <v>26</v>
      </c>
      <c r="T42" s="31" t="s">
        <v>27</v>
      </c>
      <c r="U42" s="31" t="s">
        <v>4</v>
      </c>
      <c r="V42" s="31" t="s">
        <v>37</v>
      </c>
      <c r="W42" s="31" t="s">
        <v>38</v>
      </c>
      <c r="X42" s="31" t="s">
        <v>28</v>
      </c>
      <c r="Y42" s="31" t="s">
        <v>29</v>
      </c>
    </row>
    <row r="43" spans="5:25" x14ac:dyDescent="0.25">
      <c r="R43" s="61" t="s">
        <v>44</v>
      </c>
      <c r="S43" t="s">
        <v>649</v>
      </c>
      <c r="T43" t="s">
        <v>676</v>
      </c>
      <c r="U43" t="s">
        <v>45</v>
      </c>
      <c r="V43" s="61"/>
      <c r="W43" s="61" t="s">
        <v>164</v>
      </c>
    </row>
    <row r="44" spans="5:25" x14ac:dyDescent="0.25">
      <c r="R44" s="61" t="s">
        <v>44</v>
      </c>
      <c r="S44" t="s">
        <v>650</v>
      </c>
      <c r="T44" t="s">
        <v>677</v>
      </c>
      <c r="U44" t="s">
        <v>45</v>
      </c>
      <c r="V44" s="61"/>
      <c r="W44" s="61" t="s">
        <v>164</v>
      </c>
    </row>
    <row r="45" spans="5:25" x14ac:dyDescent="0.25">
      <c r="R45" s="61" t="s">
        <v>44</v>
      </c>
      <c r="S45" t="s">
        <v>651</v>
      </c>
      <c r="T45" t="s">
        <v>678</v>
      </c>
      <c r="U45" t="s">
        <v>45</v>
      </c>
      <c r="V45" s="61"/>
      <c r="W45" s="61" t="s">
        <v>164</v>
      </c>
    </row>
    <row r="46" spans="5:25" x14ac:dyDescent="0.25">
      <c r="R46" s="61" t="s">
        <v>44</v>
      </c>
      <c r="S46" t="s">
        <v>652</v>
      </c>
      <c r="T46" t="s">
        <v>674</v>
      </c>
      <c r="U46" t="s">
        <v>45</v>
      </c>
      <c r="V46" s="61"/>
      <c r="W46" s="61" t="s">
        <v>164</v>
      </c>
    </row>
    <row r="47" spans="5:25" x14ac:dyDescent="0.25">
      <c r="R47" s="61" t="s">
        <v>44</v>
      </c>
      <c r="S47" t="s">
        <v>653</v>
      </c>
      <c r="T47" t="s">
        <v>675</v>
      </c>
      <c r="U47" t="s">
        <v>45</v>
      </c>
      <c r="V47" s="61"/>
      <c r="W47" s="61" t="s">
        <v>164</v>
      </c>
    </row>
    <row r="48" spans="5:25" x14ac:dyDescent="0.25">
      <c r="R48" s="61" t="s">
        <v>44</v>
      </c>
      <c r="S48" t="s">
        <v>654</v>
      </c>
      <c r="T48" t="s">
        <v>679</v>
      </c>
      <c r="U48" t="s">
        <v>45</v>
      </c>
      <c r="V48" s="61"/>
      <c r="W48" s="61" t="s">
        <v>164</v>
      </c>
    </row>
    <row r="49" spans="6:23" x14ac:dyDescent="0.25">
      <c r="R49" s="61" t="s">
        <v>44</v>
      </c>
      <c r="S49" t="s">
        <v>655</v>
      </c>
      <c r="T49" t="s">
        <v>680</v>
      </c>
      <c r="U49" t="s">
        <v>45</v>
      </c>
      <c r="V49" s="61"/>
      <c r="W49" s="61" t="s">
        <v>164</v>
      </c>
    </row>
    <row r="50" spans="6:23" x14ac:dyDescent="0.25">
      <c r="R50" s="61" t="s">
        <v>44</v>
      </c>
      <c r="S50" t="s">
        <v>656</v>
      </c>
      <c r="T50" t="s">
        <v>681</v>
      </c>
      <c r="U50" t="s">
        <v>45</v>
      </c>
      <c r="V50" s="61"/>
      <c r="W50" s="61" t="s">
        <v>164</v>
      </c>
    </row>
    <row r="51" spans="6:23" x14ac:dyDescent="0.25">
      <c r="R51" s="61" t="s">
        <v>44</v>
      </c>
      <c r="S51" t="s">
        <v>657</v>
      </c>
      <c r="T51" t="s">
        <v>682</v>
      </c>
      <c r="U51" t="s">
        <v>45</v>
      </c>
      <c r="V51" s="61"/>
      <c r="W51" s="61" t="s">
        <v>164</v>
      </c>
    </row>
    <row r="52" spans="6:23" x14ac:dyDescent="0.25">
      <c r="R52" s="61" t="s">
        <v>44</v>
      </c>
      <c r="S52" t="s">
        <v>658</v>
      </c>
      <c r="T52" t="s">
        <v>683</v>
      </c>
      <c r="U52" t="s">
        <v>45</v>
      </c>
      <c r="V52" s="61"/>
      <c r="W52" s="61" t="s">
        <v>164</v>
      </c>
    </row>
    <row r="53" spans="6:23" x14ac:dyDescent="0.25">
      <c r="H53" s="5" t="s">
        <v>13</v>
      </c>
      <c r="J53" s="5"/>
      <c r="R53" s="61" t="s">
        <v>44</v>
      </c>
      <c r="S53" t="s">
        <v>659</v>
      </c>
      <c r="T53" t="s">
        <v>684</v>
      </c>
      <c r="U53" t="s">
        <v>45</v>
      </c>
      <c r="V53" s="61"/>
      <c r="W53" s="61" t="s">
        <v>164</v>
      </c>
    </row>
    <row r="54" spans="6:23" x14ac:dyDescent="0.25">
      <c r="F54" s="3" t="s">
        <v>1</v>
      </c>
      <c r="G54" s="14" t="s">
        <v>5</v>
      </c>
      <c r="H54" s="3" t="s">
        <v>6</v>
      </c>
      <c r="I54" s="272" t="s">
        <v>501</v>
      </c>
      <c r="J54" s="29" t="s">
        <v>61</v>
      </c>
      <c r="K54" s="272" t="s">
        <v>199</v>
      </c>
      <c r="L54" s="38" t="s">
        <v>68</v>
      </c>
      <c r="R54" s="61" t="s">
        <v>44</v>
      </c>
      <c r="S54" t="s">
        <v>660</v>
      </c>
      <c r="T54" t="s">
        <v>685</v>
      </c>
      <c r="U54" t="s">
        <v>45</v>
      </c>
      <c r="V54" s="61"/>
      <c r="W54" s="61" t="s">
        <v>164</v>
      </c>
    </row>
    <row r="55" spans="6:23" ht="31.8" thickBot="1" x14ac:dyDescent="0.3">
      <c r="F55" s="10" t="s">
        <v>36</v>
      </c>
      <c r="G55" s="10" t="s">
        <v>32</v>
      </c>
      <c r="H55" s="10" t="s">
        <v>33</v>
      </c>
      <c r="I55" s="10" t="s">
        <v>502</v>
      </c>
      <c r="J55" s="10"/>
      <c r="K55" s="10" t="s">
        <v>503</v>
      </c>
      <c r="L55" s="40"/>
      <c r="R55" s="61" t="s">
        <v>44</v>
      </c>
      <c r="S55" t="s">
        <v>661</v>
      </c>
      <c r="T55" t="s">
        <v>686</v>
      </c>
      <c r="U55" t="s">
        <v>45</v>
      </c>
      <c r="V55" s="61"/>
      <c r="W55" s="61" t="s">
        <v>164</v>
      </c>
    </row>
    <row r="56" spans="6:23" ht="13.8" thickBot="1" x14ac:dyDescent="0.3">
      <c r="F56" s="11" t="s">
        <v>53</v>
      </c>
      <c r="G56" s="274"/>
      <c r="H56" s="274"/>
      <c r="I56" s="274" t="str">
        <f>$E$2</f>
        <v>Sets</v>
      </c>
      <c r="J56" s="31"/>
      <c r="K56" s="31" t="s">
        <v>511</v>
      </c>
      <c r="L56" s="41"/>
      <c r="R56" s="61" t="s">
        <v>44</v>
      </c>
      <c r="S56" t="s">
        <v>662</v>
      </c>
      <c r="T56" t="s">
        <v>687</v>
      </c>
      <c r="U56" t="s">
        <v>45</v>
      </c>
      <c r="V56" s="61"/>
      <c r="W56" s="61" t="s">
        <v>164</v>
      </c>
    </row>
    <row r="57" spans="6:23" x14ac:dyDescent="0.25">
      <c r="F57" s="32" t="s">
        <v>599</v>
      </c>
      <c r="G57" t="s">
        <v>649</v>
      </c>
      <c r="H57" s="273"/>
      <c r="I57" s="273"/>
      <c r="L57">
        <v>2030</v>
      </c>
      <c r="R57" s="61" t="s">
        <v>44</v>
      </c>
      <c r="S57" t="s">
        <v>663</v>
      </c>
      <c r="T57" t="s">
        <v>688</v>
      </c>
      <c r="U57" t="s">
        <v>45</v>
      </c>
      <c r="V57" s="61"/>
      <c r="W57" s="61" t="s">
        <v>164</v>
      </c>
    </row>
    <row r="58" spans="6:23" x14ac:dyDescent="0.25">
      <c r="F58" t="s">
        <v>600</v>
      </c>
      <c r="G58" t="s">
        <v>650</v>
      </c>
      <c r="L58">
        <v>2030</v>
      </c>
      <c r="R58" s="61" t="s">
        <v>44</v>
      </c>
      <c r="S58" t="s">
        <v>664</v>
      </c>
      <c r="T58" t="s">
        <v>689</v>
      </c>
      <c r="U58" t="s">
        <v>45</v>
      </c>
      <c r="V58" s="61"/>
      <c r="W58" s="61" t="s">
        <v>164</v>
      </c>
    </row>
    <row r="59" spans="6:23" x14ac:dyDescent="0.25">
      <c r="F59" t="s">
        <v>601</v>
      </c>
      <c r="G59" t="s">
        <v>651</v>
      </c>
      <c r="L59">
        <v>2030</v>
      </c>
      <c r="R59" s="61" t="s">
        <v>44</v>
      </c>
      <c r="S59" t="s">
        <v>665</v>
      </c>
      <c r="T59" t="s">
        <v>690</v>
      </c>
      <c r="U59" t="s">
        <v>45</v>
      </c>
      <c r="V59" s="61"/>
      <c r="W59" s="61" t="s">
        <v>164</v>
      </c>
    </row>
    <row r="60" spans="6:23" x14ac:dyDescent="0.25">
      <c r="F60" t="s">
        <v>602</v>
      </c>
      <c r="G60" t="s">
        <v>652</v>
      </c>
      <c r="L60">
        <v>2030</v>
      </c>
      <c r="R60" s="61" t="s">
        <v>44</v>
      </c>
      <c r="S60" t="s">
        <v>666</v>
      </c>
      <c r="T60" t="s">
        <v>691</v>
      </c>
      <c r="U60" t="s">
        <v>45</v>
      </c>
      <c r="V60" s="61"/>
      <c r="W60" s="61" t="s">
        <v>164</v>
      </c>
    </row>
    <row r="61" spans="6:23" x14ac:dyDescent="0.25">
      <c r="F61" t="s">
        <v>603</v>
      </c>
      <c r="G61" t="s">
        <v>653</v>
      </c>
      <c r="L61">
        <v>2030</v>
      </c>
      <c r="R61" s="61" t="s">
        <v>44</v>
      </c>
      <c r="S61" t="s">
        <v>667</v>
      </c>
      <c r="T61" t="s">
        <v>692</v>
      </c>
      <c r="U61" t="s">
        <v>45</v>
      </c>
      <c r="V61" s="61"/>
      <c r="W61" s="61" t="s">
        <v>164</v>
      </c>
    </row>
    <row r="62" spans="6:23" x14ac:dyDescent="0.25">
      <c r="F62" s="32" t="s">
        <v>604</v>
      </c>
      <c r="G62" t="s">
        <v>654</v>
      </c>
      <c r="L62">
        <v>2030</v>
      </c>
      <c r="R62" s="61" t="s">
        <v>44</v>
      </c>
      <c r="S62" t="s">
        <v>668</v>
      </c>
      <c r="T62" t="s">
        <v>693</v>
      </c>
      <c r="U62" t="s">
        <v>45</v>
      </c>
      <c r="V62" s="61"/>
      <c r="W62" s="61" t="s">
        <v>164</v>
      </c>
    </row>
    <row r="63" spans="6:23" x14ac:dyDescent="0.25">
      <c r="F63" t="s">
        <v>605</v>
      </c>
      <c r="G63" t="s">
        <v>655</v>
      </c>
      <c r="L63">
        <v>2030</v>
      </c>
      <c r="R63" s="61" t="s">
        <v>44</v>
      </c>
      <c r="S63" t="s">
        <v>669</v>
      </c>
      <c r="T63" t="s">
        <v>694</v>
      </c>
      <c r="U63" t="s">
        <v>45</v>
      </c>
      <c r="V63" s="61"/>
      <c r="W63" s="61" t="s">
        <v>164</v>
      </c>
    </row>
    <row r="64" spans="6:23" x14ac:dyDescent="0.25">
      <c r="F64" t="s">
        <v>606</v>
      </c>
      <c r="G64" t="s">
        <v>656</v>
      </c>
      <c r="L64">
        <v>2030</v>
      </c>
      <c r="R64" s="61" t="s">
        <v>44</v>
      </c>
      <c r="S64" t="s">
        <v>670</v>
      </c>
      <c r="T64" t="s">
        <v>695</v>
      </c>
      <c r="U64" t="s">
        <v>45</v>
      </c>
      <c r="V64" s="61"/>
      <c r="W64" s="61" t="s">
        <v>164</v>
      </c>
    </row>
    <row r="65" spans="6:23" x14ac:dyDescent="0.25">
      <c r="F65" t="s">
        <v>607</v>
      </c>
      <c r="G65" t="s">
        <v>657</v>
      </c>
      <c r="L65">
        <v>2030</v>
      </c>
      <c r="R65" s="61" t="s">
        <v>44</v>
      </c>
      <c r="S65" t="s">
        <v>671</v>
      </c>
      <c r="T65" t="s">
        <v>696</v>
      </c>
      <c r="U65" t="s">
        <v>45</v>
      </c>
      <c r="V65" s="61"/>
      <c r="W65" s="61" t="s">
        <v>164</v>
      </c>
    </row>
    <row r="66" spans="6:23" x14ac:dyDescent="0.25">
      <c r="F66" t="s">
        <v>608</v>
      </c>
      <c r="G66" t="s">
        <v>658</v>
      </c>
      <c r="L66">
        <v>2030</v>
      </c>
      <c r="R66" s="61" t="s">
        <v>44</v>
      </c>
      <c r="S66" t="s">
        <v>672</v>
      </c>
      <c r="T66" t="s">
        <v>697</v>
      </c>
      <c r="U66" t="s">
        <v>45</v>
      </c>
      <c r="V66" s="61"/>
      <c r="W66" s="61" t="s">
        <v>164</v>
      </c>
    </row>
    <row r="67" spans="6:23" x14ac:dyDescent="0.25">
      <c r="F67" s="32" t="s">
        <v>609</v>
      </c>
      <c r="G67" t="s">
        <v>659</v>
      </c>
      <c r="L67">
        <v>2030</v>
      </c>
      <c r="R67" s="61" t="s">
        <v>44</v>
      </c>
      <c r="S67" t="s">
        <v>673</v>
      </c>
      <c r="T67" t="s">
        <v>698</v>
      </c>
      <c r="U67" t="s">
        <v>45</v>
      </c>
      <c r="V67" s="61"/>
      <c r="W67" s="61" t="s">
        <v>164</v>
      </c>
    </row>
    <row r="68" spans="6:23" x14ac:dyDescent="0.25">
      <c r="F68" t="s">
        <v>610</v>
      </c>
      <c r="G68" t="s">
        <v>660</v>
      </c>
      <c r="L68">
        <v>2030</v>
      </c>
      <c r="R68" s="61" t="s">
        <v>44</v>
      </c>
      <c r="S68" t="s">
        <v>869</v>
      </c>
      <c r="T68" t="s">
        <v>874</v>
      </c>
      <c r="U68" t="s">
        <v>45</v>
      </c>
      <c r="V68" s="61"/>
      <c r="W68" s="61" t="s">
        <v>164</v>
      </c>
    </row>
    <row r="69" spans="6:23" x14ac:dyDescent="0.25">
      <c r="F69" t="s">
        <v>611</v>
      </c>
      <c r="G69" t="s">
        <v>661</v>
      </c>
      <c r="L69">
        <v>2030</v>
      </c>
      <c r="R69" s="61" t="s">
        <v>44</v>
      </c>
      <c r="S69" t="s">
        <v>870</v>
      </c>
      <c r="T69" t="s">
        <v>875</v>
      </c>
      <c r="U69" t="s">
        <v>45</v>
      </c>
      <c r="V69" s="61"/>
      <c r="W69" s="61" t="s">
        <v>164</v>
      </c>
    </row>
    <row r="70" spans="6:23" x14ac:dyDescent="0.25">
      <c r="F70" t="s">
        <v>612</v>
      </c>
      <c r="G70" t="s">
        <v>662</v>
      </c>
      <c r="L70">
        <v>2030</v>
      </c>
      <c r="R70" s="61" t="s">
        <v>44</v>
      </c>
      <c r="S70" t="s">
        <v>871</v>
      </c>
      <c r="T70" t="s">
        <v>876</v>
      </c>
      <c r="U70" t="s">
        <v>45</v>
      </c>
      <c r="V70" s="61"/>
      <c r="W70" s="61" t="s">
        <v>164</v>
      </c>
    </row>
    <row r="71" spans="6:23" x14ac:dyDescent="0.25">
      <c r="F71" t="s">
        <v>613</v>
      </c>
      <c r="G71" t="s">
        <v>663</v>
      </c>
      <c r="L71">
        <v>2030</v>
      </c>
      <c r="R71" s="61" t="s">
        <v>44</v>
      </c>
      <c r="S71" t="s">
        <v>872</v>
      </c>
      <c r="T71" t="s">
        <v>877</v>
      </c>
      <c r="U71" t="s">
        <v>45</v>
      </c>
      <c r="V71" s="61"/>
      <c r="W71" s="61" t="s">
        <v>164</v>
      </c>
    </row>
    <row r="72" spans="6:23" x14ac:dyDescent="0.25">
      <c r="F72" s="32" t="s">
        <v>614</v>
      </c>
      <c r="G72" t="s">
        <v>664</v>
      </c>
      <c r="L72">
        <v>2030</v>
      </c>
      <c r="R72" s="61" t="s">
        <v>44</v>
      </c>
      <c r="S72" t="s">
        <v>873</v>
      </c>
      <c r="T72" t="s">
        <v>878</v>
      </c>
      <c r="U72" t="s">
        <v>45</v>
      </c>
      <c r="V72" s="61"/>
      <c r="W72" s="61" t="s">
        <v>164</v>
      </c>
    </row>
    <row r="73" spans="6:23" x14ac:dyDescent="0.25">
      <c r="F73" t="s">
        <v>615</v>
      </c>
      <c r="G73" t="s">
        <v>665</v>
      </c>
      <c r="L73">
        <v>2030</v>
      </c>
      <c r="R73" s="61" t="s">
        <v>44</v>
      </c>
      <c r="S73" t="s">
        <v>504</v>
      </c>
      <c r="T73" t="s">
        <v>499</v>
      </c>
      <c r="U73" t="s">
        <v>417</v>
      </c>
      <c r="V73" s="61"/>
      <c r="W73" s="61" t="s">
        <v>164</v>
      </c>
    </row>
    <row r="74" spans="6:23" x14ac:dyDescent="0.25">
      <c r="F74" t="s">
        <v>616</v>
      </c>
      <c r="G74" t="s">
        <v>666</v>
      </c>
      <c r="L74">
        <v>2030</v>
      </c>
      <c r="R74" s="61" t="s">
        <v>44</v>
      </c>
      <c r="S74" t="s">
        <v>505</v>
      </c>
      <c r="T74" t="s">
        <v>519</v>
      </c>
      <c r="U74" t="s">
        <v>45</v>
      </c>
      <c r="V74" s="61"/>
      <c r="W74" s="61" t="s">
        <v>164</v>
      </c>
    </row>
    <row r="75" spans="6:23" x14ac:dyDescent="0.25">
      <c r="F75" t="s">
        <v>617</v>
      </c>
      <c r="G75" t="s">
        <v>667</v>
      </c>
      <c r="L75">
        <v>2030</v>
      </c>
      <c r="R75" s="28" t="s">
        <v>44</v>
      </c>
      <c r="S75" s="44" t="s">
        <v>67</v>
      </c>
      <c r="T75" t="s">
        <v>533</v>
      </c>
      <c r="U75" t="s">
        <v>538</v>
      </c>
      <c r="W75" s="61" t="s">
        <v>164</v>
      </c>
    </row>
    <row r="76" spans="6:23" x14ac:dyDescent="0.25">
      <c r="F76" t="s">
        <v>618</v>
      </c>
      <c r="G76" t="s">
        <v>668</v>
      </c>
      <c r="L76">
        <v>2030</v>
      </c>
      <c r="R76" s="28" t="s">
        <v>44</v>
      </c>
      <c r="S76" t="s">
        <v>530</v>
      </c>
      <c r="T76" t="s">
        <v>534</v>
      </c>
      <c r="U76" t="s">
        <v>539</v>
      </c>
      <c r="W76" s="61" t="s">
        <v>164</v>
      </c>
    </row>
    <row r="77" spans="6:23" x14ac:dyDescent="0.25">
      <c r="F77" s="32" t="s">
        <v>619</v>
      </c>
      <c r="G77" t="s">
        <v>669</v>
      </c>
      <c r="L77">
        <v>2030</v>
      </c>
      <c r="R77" s="28" t="s">
        <v>44</v>
      </c>
      <c r="S77" t="s">
        <v>531</v>
      </c>
      <c r="T77" t="s">
        <v>535</v>
      </c>
      <c r="U77" t="s">
        <v>538</v>
      </c>
      <c r="W77" s="61" t="s">
        <v>164</v>
      </c>
    </row>
    <row r="78" spans="6:23" x14ac:dyDescent="0.25">
      <c r="F78" t="s">
        <v>620</v>
      </c>
      <c r="G78" t="s">
        <v>670</v>
      </c>
      <c r="L78">
        <v>2030</v>
      </c>
      <c r="R78" s="28" t="s">
        <v>44</v>
      </c>
      <c r="S78" t="s">
        <v>532</v>
      </c>
      <c r="T78" t="s">
        <v>536</v>
      </c>
      <c r="U78" t="s">
        <v>538</v>
      </c>
      <c r="W78" s="61" t="s">
        <v>164</v>
      </c>
    </row>
    <row r="79" spans="6:23" x14ac:dyDescent="0.25">
      <c r="F79" t="s">
        <v>621</v>
      </c>
      <c r="G79" t="s">
        <v>671</v>
      </c>
      <c r="L79">
        <v>2030</v>
      </c>
    </row>
    <row r="80" spans="6:23" x14ac:dyDescent="0.25">
      <c r="F80" t="s">
        <v>622</v>
      </c>
      <c r="G80" t="s">
        <v>672</v>
      </c>
      <c r="L80">
        <v>2030</v>
      </c>
    </row>
    <row r="81" spans="6:20" x14ac:dyDescent="0.25">
      <c r="F81" t="s">
        <v>623</v>
      </c>
      <c r="G81" t="s">
        <v>673</v>
      </c>
      <c r="L81">
        <v>2030</v>
      </c>
    </row>
    <row r="82" spans="6:20" x14ac:dyDescent="0.25">
      <c r="F82" s="32" t="s">
        <v>859</v>
      </c>
      <c r="G82" t="s">
        <v>869</v>
      </c>
      <c r="L82">
        <v>2030</v>
      </c>
    </row>
    <row r="83" spans="6:20" x14ac:dyDescent="0.25">
      <c r="F83" t="s">
        <v>860</v>
      </c>
      <c r="G83" t="s">
        <v>870</v>
      </c>
      <c r="L83">
        <v>2030</v>
      </c>
    </row>
    <row r="84" spans="6:20" ht="15.6" x14ac:dyDescent="0.35">
      <c r="F84" t="s">
        <v>861</v>
      </c>
      <c r="G84" t="s">
        <v>871</v>
      </c>
      <c r="L84">
        <v>2030</v>
      </c>
      <c r="R84" s="299" t="s">
        <v>594</v>
      </c>
      <c r="S84" s="300" t="s">
        <v>595</v>
      </c>
      <c r="T84" t="s">
        <v>596</v>
      </c>
    </row>
    <row r="85" spans="6:20" ht="14.4" x14ac:dyDescent="0.3">
      <c r="F85" t="s">
        <v>862</v>
      </c>
      <c r="G85" t="s">
        <v>872</v>
      </c>
      <c r="L85">
        <v>2030</v>
      </c>
      <c r="R85" s="301">
        <v>2022</v>
      </c>
      <c r="S85" s="302">
        <v>645.20000000000005</v>
      </c>
      <c r="T85">
        <f t="shared" ref="T85:T113" si="0">S85*1000/(7.46*1000000)</f>
        <v>8.6487935656836462E-2</v>
      </c>
    </row>
    <row r="86" spans="6:20" ht="14.4" x14ac:dyDescent="0.3">
      <c r="F86" t="s">
        <v>863</v>
      </c>
      <c r="G86" t="s">
        <v>873</v>
      </c>
      <c r="L86">
        <v>2030</v>
      </c>
      <c r="R86" s="301">
        <v>2023</v>
      </c>
      <c r="S86" s="302">
        <v>666.59</v>
      </c>
      <c r="T86">
        <f t="shared" si="0"/>
        <v>8.9355227882037536E-2</v>
      </c>
    </row>
    <row r="87" spans="6:20" ht="14.4" x14ac:dyDescent="0.3">
      <c r="F87" t="s">
        <v>497</v>
      </c>
      <c r="H87" t="s">
        <v>504</v>
      </c>
      <c r="J87">
        <v>2030</v>
      </c>
      <c r="K87">
        <f>T93</f>
        <v>0.11734048257372655</v>
      </c>
      <c r="L87">
        <v>2030</v>
      </c>
      <c r="R87" s="301">
        <v>2024</v>
      </c>
      <c r="S87" s="302">
        <v>688.99</v>
      </c>
      <c r="T87">
        <f t="shared" si="0"/>
        <v>9.2357908847184991E-2</v>
      </c>
    </row>
    <row r="88" spans="6:20" ht="14.4" x14ac:dyDescent="0.3">
      <c r="F88" t="s">
        <v>497</v>
      </c>
      <c r="H88" t="s">
        <v>504</v>
      </c>
      <c r="J88">
        <v>2035</v>
      </c>
      <c r="K88">
        <f>T98</f>
        <v>0.14710455764075067</v>
      </c>
      <c r="L88">
        <v>2030</v>
      </c>
      <c r="R88" s="301">
        <v>2025</v>
      </c>
      <c r="S88" s="302">
        <v>713.64</v>
      </c>
      <c r="T88">
        <f t="shared" si="0"/>
        <v>9.5662198391420913E-2</v>
      </c>
    </row>
    <row r="89" spans="6:20" ht="14.4" x14ac:dyDescent="0.3">
      <c r="F89" t="s">
        <v>497</v>
      </c>
      <c r="H89" t="s">
        <v>504</v>
      </c>
      <c r="J89">
        <v>2040</v>
      </c>
      <c r="K89">
        <f>T103</f>
        <v>0.1869235924932976</v>
      </c>
      <c r="L89">
        <v>2030</v>
      </c>
      <c r="R89" s="301">
        <v>2026</v>
      </c>
      <c r="S89" s="302">
        <v>741.33</v>
      </c>
      <c r="T89">
        <f t="shared" si="0"/>
        <v>9.9373994638069701E-2</v>
      </c>
    </row>
    <row r="90" spans="6:20" ht="14.4" x14ac:dyDescent="0.3">
      <c r="F90" t="s">
        <v>497</v>
      </c>
      <c r="H90" t="s">
        <v>504</v>
      </c>
      <c r="J90">
        <v>2045</v>
      </c>
      <c r="K90">
        <f>T108</f>
        <v>0.24266353887399464</v>
      </c>
      <c r="L90">
        <v>2030</v>
      </c>
      <c r="R90" s="301">
        <v>2027</v>
      </c>
      <c r="S90" s="302">
        <v>771.28</v>
      </c>
      <c r="T90">
        <f t="shared" si="0"/>
        <v>0.1033887399463807</v>
      </c>
    </row>
    <row r="91" spans="6:20" ht="14.4" x14ac:dyDescent="0.3">
      <c r="F91" t="s">
        <v>497</v>
      </c>
      <c r="H91" t="s">
        <v>504</v>
      </c>
      <c r="J91">
        <v>2050</v>
      </c>
      <c r="K91">
        <f>T113</f>
        <v>0.32118096514745309</v>
      </c>
      <c r="L91">
        <v>2030</v>
      </c>
      <c r="R91" s="301">
        <v>2028</v>
      </c>
      <c r="S91" s="302">
        <v>802.71</v>
      </c>
      <c r="T91">
        <f t="shared" si="0"/>
        <v>0.10760187667560321</v>
      </c>
    </row>
    <row r="92" spans="6:20" ht="14.4" x14ac:dyDescent="0.3">
      <c r="F92" t="s">
        <v>497</v>
      </c>
      <c r="H92" t="s">
        <v>504</v>
      </c>
      <c r="J92">
        <v>0</v>
      </c>
      <c r="K92">
        <v>3</v>
      </c>
      <c r="R92" s="301">
        <v>2029</v>
      </c>
      <c r="S92" s="302">
        <v>837.73</v>
      </c>
      <c r="T92">
        <f t="shared" si="0"/>
        <v>0.11229624664879356</v>
      </c>
    </row>
    <row r="93" spans="6:20" ht="14.4" x14ac:dyDescent="0.3">
      <c r="F93" t="s">
        <v>498</v>
      </c>
      <c r="H93" t="s">
        <v>505</v>
      </c>
      <c r="K93">
        <v>0</v>
      </c>
      <c r="L93">
        <v>2030</v>
      </c>
      <c r="R93" s="301">
        <v>2030</v>
      </c>
      <c r="S93" s="302">
        <v>875.36</v>
      </c>
      <c r="T93">
        <f t="shared" si="0"/>
        <v>0.11734048257372655</v>
      </c>
    </row>
    <row r="94" spans="6:20" ht="14.4" x14ac:dyDescent="0.3">
      <c r="F94" s="62" t="s">
        <v>552</v>
      </c>
      <c r="H94" s="44" t="s">
        <v>67</v>
      </c>
      <c r="K94">
        <v>0</v>
      </c>
      <c r="L94">
        <v>2030</v>
      </c>
      <c r="R94" s="301">
        <v>2031</v>
      </c>
      <c r="S94" s="302">
        <v>914.8</v>
      </c>
      <c r="T94">
        <f t="shared" si="0"/>
        <v>0.12262734584450402</v>
      </c>
    </row>
    <row r="95" spans="6:20" ht="14.4" x14ac:dyDescent="0.3">
      <c r="F95" s="62" t="s">
        <v>553</v>
      </c>
      <c r="H95" t="s">
        <v>530</v>
      </c>
      <c r="K95">
        <v>0</v>
      </c>
      <c r="L95">
        <v>2030</v>
      </c>
      <c r="R95" s="301">
        <v>2032</v>
      </c>
      <c r="S95" s="302">
        <v>956.44</v>
      </c>
      <c r="T95">
        <f t="shared" si="0"/>
        <v>0.12820911528150133</v>
      </c>
    </row>
    <row r="96" spans="6:20" ht="14.4" x14ac:dyDescent="0.3">
      <c r="F96" s="62" t="s">
        <v>554</v>
      </c>
      <c r="H96" t="s">
        <v>531</v>
      </c>
      <c r="K96">
        <v>0</v>
      </c>
      <c r="L96">
        <v>2030</v>
      </c>
      <c r="R96" s="301">
        <v>2033</v>
      </c>
      <c r="S96" s="302">
        <v>1000.59</v>
      </c>
      <c r="T96">
        <f t="shared" si="0"/>
        <v>0.13412734584450403</v>
      </c>
    </row>
    <row r="97" spans="6:20" ht="14.4" x14ac:dyDescent="0.3">
      <c r="F97" s="62" t="s">
        <v>555</v>
      </c>
      <c r="H97" t="s">
        <v>532</v>
      </c>
      <c r="K97">
        <v>0</v>
      </c>
      <c r="L97">
        <v>2030</v>
      </c>
      <c r="R97" s="301">
        <v>2034</v>
      </c>
      <c r="S97" s="302">
        <v>1047.3699999999999</v>
      </c>
      <c r="T97">
        <f t="shared" si="0"/>
        <v>0.14039812332439677</v>
      </c>
    </row>
    <row r="98" spans="6:20" ht="14.4" x14ac:dyDescent="0.3">
      <c r="R98" s="301">
        <v>2035</v>
      </c>
      <c r="S98" s="302">
        <v>1097.4000000000001</v>
      </c>
      <c r="T98">
        <f t="shared" si="0"/>
        <v>0.14710455764075067</v>
      </c>
    </row>
    <row r="99" spans="6:20" ht="14.4" x14ac:dyDescent="0.3">
      <c r="R99" s="301">
        <v>2036</v>
      </c>
      <c r="S99" s="302">
        <v>1149.3800000000001</v>
      </c>
      <c r="T99">
        <f t="shared" si="0"/>
        <v>0.15407238605898124</v>
      </c>
    </row>
    <row r="100" spans="6:20" ht="14.4" x14ac:dyDescent="0.3">
      <c r="R100" s="301">
        <v>2037</v>
      </c>
      <c r="S100" s="302">
        <v>1204.6600000000001</v>
      </c>
      <c r="T100">
        <f t="shared" si="0"/>
        <v>0.16148257372654157</v>
      </c>
    </row>
    <row r="101" spans="6:20" ht="14.4" x14ac:dyDescent="0.3">
      <c r="R101" s="301">
        <v>2038</v>
      </c>
      <c r="S101" s="302">
        <v>1263.8</v>
      </c>
      <c r="T101">
        <f t="shared" si="0"/>
        <v>0.16941018766756033</v>
      </c>
    </row>
    <row r="102" spans="6:20" ht="14.4" x14ac:dyDescent="0.3">
      <c r="R102" s="301">
        <v>2039</v>
      </c>
      <c r="S102" s="302">
        <v>1326.72</v>
      </c>
      <c r="T102">
        <f t="shared" si="0"/>
        <v>0.17784450402144772</v>
      </c>
    </row>
    <row r="103" spans="6:20" ht="14.4" x14ac:dyDescent="0.3">
      <c r="R103" s="301">
        <v>2040</v>
      </c>
      <c r="S103" s="302">
        <v>1394.45</v>
      </c>
      <c r="T103">
        <f t="shared" si="0"/>
        <v>0.1869235924932976</v>
      </c>
    </row>
    <row r="104" spans="6:20" ht="14.4" x14ac:dyDescent="0.3">
      <c r="R104" s="301">
        <v>2041</v>
      </c>
      <c r="S104" s="302">
        <v>1466.47</v>
      </c>
      <c r="T104">
        <f t="shared" si="0"/>
        <v>0.19657774798927613</v>
      </c>
    </row>
    <row r="105" spans="6:20" ht="14.4" x14ac:dyDescent="0.3">
      <c r="R105" s="301">
        <v>2042</v>
      </c>
      <c r="S105" s="302">
        <v>1543.69</v>
      </c>
      <c r="T105">
        <f t="shared" si="0"/>
        <v>0.20692895442359249</v>
      </c>
    </row>
    <row r="106" spans="6:20" ht="14.4" x14ac:dyDescent="0.3">
      <c r="G106" t="s">
        <v>506</v>
      </c>
      <c r="H106" t="s">
        <v>517</v>
      </c>
      <c r="K106">
        <v>41.83</v>
      </c>
      <c r="L106" t="s">
        <v>129</v>
      </c>
      <c r="R106" s="301">
        <v>2043</v>
      </c>
      <c r="S106" s="302">
        <v>1626.5</v>
      </c>
      <c r="T106">
        <f t="shared" si="0"/>
        <v>0.218029490616622</v>
      </c>
    </row>
    <row r="107" spans="6:20" ht="14.4" x14ac:dyDescent="0.3">
      <c r="R107" s="301">
        <v>2044</v>
      </c>
      <c r="S107" s="302">
        <v>1715.17</v>
      </c>
      <c r="T107">
        <f t="shared" si="0"/>
        <v>0.22991554959785523</v>
      </c>
    </row>
    <row r="108" spans="6:20" ht="14.4" x14ac:dyDescent="0.3">
      <c r="F108">
        <v>2030</v>
      </c>
      <c r="G108">
        <v>70</v>
      </c>
      <c r="H108" s="62" t="s">
        <v>510</v>
      </c>
      <c r="K108">
        <f>K106/1000000000</f>
        <v>4.1829999999999998E-8</v>
      </c>
      <c r="L108" t="s">
        <v>508</v>
      </c>
      <c r="R108" s="301">
        <v>2045</v>
      </c>
      <c r="S108" s="302">
        <v>1810.27</v>
      </c>
      <c r="T108">
        <f t="shared" si="0"/>
        <v>0.24266353887399464</v>
      </c>
    </row>
    <row r="109" spans="6:20" ht="14.4" x14ac:dyDescent="0.3">
      <c r="F109">
        <v>2040</v>
      </c>
      <c r="G109">
        <v>150</v>
      </c>
      <c r="R109" s="301">
        <v>2046</v>
      </c>
      <c r="S109" s="302">
        <v>1911.97</v>
      </c>
      <c r="T109">
        <f t="shared" si="0"/>
        <v>0.25629624664879358</v>
      </c>
    </row>
    <row r="110" spans="6:20" ht="14.4" x14ac:dyDescent="0.3">
      <c r="F110">
        <v>2050</v>
      </c>
      <c r="G110">
        <v>500</v>
      </c>
      <c r="K110">
        <f>K108*1000</f>
        <v>4.1829999999999998E-5</v>
      </c>
      <c r="L110" t="s">
        <v>509</v>
      </c>
      <c r="R110" s="301">
        <v>2047</v>
      </c>
      <c r="S110" s="302">
        <v>2020.86</v>
      </c>
      <c r="T110">
        <f t="shared" si="0"/>
        <v>0.2708927613941019</v>
      </c>
    </row>
    <row r="111" spans="6:20" ht="14.4" x14ac:dyDescent="0.3">
      <c r="R111" s="301">
        <v>2048</v>
      </c>
      <c r="S111" s="302">
        <v>2137.69</v>
      </c>
      <c r="T111">
        <f t="shared" si="0"/>
        <v>0.28655361930294904</v>
      </c>
    </row>
    <row r="112" spans="6:20" ht="14.4" x14ac:dyDescent="0.3">
      <c r="R112" s="301">
        <v>2049</v>
      </c>
      <c r="S112" s="302">
        <v>2262.31</v>
      </c>
      <c r="T112">
        <f t="shared" si="0"/>
        <v>0.3032587131367292</v>
      </c>
    </row>
    <row r="113" spans="7:20" ht="14.4" x14ac:dyDescent="0.3">
      <c r="R113" s="301">
        <v>2050</v>
      </c>
      <c r="S113" s="302">
        <v>2396.0100000000002</v>
      </c>
      <c r="T113">
        <f t="shared" si="0"/>
        <v>0.32118096514745309</v>
      </c>
    </row>
    <row r="118" spans="7:20" x14ac:dyDescent="0.25">
      <c r="G118" t="s">
        <v>507</v>
      </c>
      <c r="H118" s="275" t="s">
        <v>512</v>
      </c>
    </row>
    <row r="119" spans="7:20" ht="14.4" x14ac:dyDescent="0.25">
      <c r="H119" s="276"/>
    </row>
    <row r="120" spans="7:20" x14ac:dyDescent="0.25">
      <c r="I120">
        <v>70</v>
      </c>
      <c r="J120" s="62" t="s">
        <v>513</v>
      </c>
      <c r="K120" s="62" t="s">
        <v>515</v>
      </c>
    </row>
    <row r="122" spans="7:20" x14ac:dyDescent="0.25">
      <c r="I122">
        <f>I120/0.000001</f>
        <v>70000000</v>
      </c>
      <c r="J122" s="62" t="s">
        <v>514</v>
      </c>
    </row>
    <row r="124" spans="7:20" x14ac:dyDescent="0.25">
      <c r="I124">
        <f>I122*0.13/1000000</f>
        <v>9.1</v>
      </c>
      <c r="J124" s="62" t="s">
        <v>516</v>
      </c>
    </row>
  </sheetData>
  <phoneticPr fontId="42" type="noConversion"/>
  <hyperlinks>
    <hyperlink ref="H118"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184</v>
      </c>
      <c r="N4" s="61" t="s">
        <v>185</v>
      </c>
      <c r="O4" s="61" t="s">
        <v>45</v>
      </c>
      <c r="P4" s="61" t="s">
        <v>179</v>
      </c>
      <c r="Q4" s="61"/>
      <c r="R4" s="28"/>
      <c r="S4" s="28"/>
    </row>
    <row r="5" spans="2:19" x14ac:dyDescent="0.25">
      <c r="K5" t="s">
        <v>187</v>
      </c>
      <c r="M5" t="s">
        <v>189</v>
      </c>
      <c r="N5" t="s">
        <v>192</v>
      </c>
      <c r="O5" t="s">
        <v>45</v>
      </c>
    </row>
    <row r="7" spans="2:19" x14ac:dyDescent="0.25">
      <c r="B7" s="5" t="s">
        <v>13</v>
      </c>
      <c r="K7" s="27" t="s">
        <v>15</v>
      </c>
      <c r="M7" s="32"/>
      <c r="N7" s="32"/>
      <c r="O7" s="32"/>
      <c r="P7" s="32"/>
      <c r="Q7" s="32"/>
    </row>
    <row r="8" spans="2:19" x14ac:dyDescent="0.25">
      <c r="B8" s="3" t="s">
        <v>1</v>
      </c>
      <c r="C8" s="14" t="s">
        <v>5</v>
      </c>
      <c r="D8" s="14" t="s">
        <v>6</v>
      </c>
      <c r="E8" s="14" t="s">
        <v>50</v>
      </c>
      <c r="F8" s="14" t="s">
        <v>193</v>
      </c>
      <c r="G8" s="14" t="s">
        <v>194</v>
      </c>
      <c r="H8" s="14" t="s">
        <v>520</v>
      </c>
      <c r="I8" s="14" t="s">
        <v>195</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183</v>
      </c>
      <c r="D11" t="s">
        <v>184</v>
      </c>
      <c r="F11">
        <v>1</v>
      </c>
      <c r="G11">
        <v>1</v>
      </c>
      <c r="K11" s="32" t="s">
        <v>182</v>
      </c>
      <c r="L11" s="32" t="s">
        <v>183</v>
      </c>
      <c r="M11" t="s">
        <v>186</v>
      </c>
      <c r="N11" s="32" t="s">
        <v>45</v>
      </c>
      <c r="O11" s="32" t="s">
        <v>196</v>
      </c>
      <c r="P11" s="32" t="s">
        <v>181</v>
      </c>
      <c r="Q11" s="32"/>
      <c r="R11" s="32"/>
    </row>
    <row r="12" spans="2:19" x14ac:dyDescent="0.25">
      <c r="B12" s="62" t="s">
        <v>190</v>
      </c>
      <c r="C12" s="62" t="s">
        <v>184</v>
      </c>
      <c r="D12" s="62" t="s">
        <v>189</v>
      </c>
      <c r="E12" s="62">
        <v>1</v>
      </c>
      <c r="F12" s="62">
        <v>1</v>
      </c>
      <c r="G12" s="62">
        <v>1</v>
      </c>
      <c r="H12" s="62">
        <v>1000</v>
      </c>
      <c r="I12" s="62">
        <v>5</v>
      </c>
      <c r="K12" s="32" t="s">
        <v>188</v>
      </c>
      <c r="L12" t="s">
        <v>190</v>
      </c>
      <c r="M12" t="s">
        <v>191</v>
      </c>
      <c r="N12" s="32" t="s">
        <v>45</v>
      </c>
      <c r="O12" s="32" t="s">
        <v>196</v>
      </c>
      <c r="P12" s="32" t="s">
        <v>181</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197</v>
      </c>
      <c r="D16" s="14" t="s">
        <v>61</v>
      </c>
      <c r="E16" s="14" t="s">
        <v>198</v>
      </c>
    </row>
    <row r="17" spans="2:5" ht="21.6" thickBot="1" x14ac:dyDescent="0.3">
      <c r="B17" s="10" t="s">
        <v>36</v>
      </c>
      <c r="C17" s="10"/>
      <c r="D17" s="10"/>
      <c r="E17" s="10"/>
    </row>
    <row r="18" spans="2:5" ht="13.8" thickBot="1" x14ac:dyDescent="0.3">
      <c r="B18" s="10" t="s">
        <v>53</v>
      </c>
      <c r="C18" s="9"/>
      <c r="D18" s="9"/>
      <c r="E18" s="9"/>
    </row>
    <row r="19" spans="2:5" x14ac:dyDescent="0.25">
      <c r="B19" t="s">
        <v>183</v>
      </c>
      <c r="C19" t="s">
        <v>199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03"/>
      <c r="C1" s="360"/>
      <c r="D1" s="361"/>
      <c r="E1" s="361"/>
      <c r="F1" s="361"/>
      <c r="G1" s="361"/>
      <c r="H1" s="361"/>
      <c r="I1" s="361"/>
      <c r="J1" s="361"/>
      <c r="K1" s="303"/>
      <c r="L1" s="303"/>
      <c r="M1" s="303"/>
      <c r="N1" s="304"/>
      <c r="O1" s="304"/>
      <c r="P1" s="305"/>
      <c r="Q1" s="304"/>
      <c r="R1" s="304"/>
    </row>
    <row r="2" spans="1:18" x14ac:dyDescent="0.25">
      <c r="A2" s="81" t="s">
        <v>206</v>
      </c>
      <c r="B2" s="81"/>
      <c r="C2" s="306">
        <v>2025</v>
      </c>
      <c r="D2" s="306">
        <v>2030</v>
      </c>
      <c r="E2" s="306">
        <v>2040</v>
      </c>
      <c r="F2" s="306">
        <v>2050</v>
      </c>
      <c r="G2" s="306">
        <v>2020</v>
      </c>
      <c r="H2" s="306">
        <v>2020</v>
      </c>
      <c r="I2" s="306">
        <v>2050</v>
      </c>
      <c r="J2" s="306">
        <v>2050</v>
      </c>
      <c r="K2" s="306" t="s">
        <v>72</v>
      </c>
      <c r="L2" s="307" t="s">
        <v>699</v>
      </c>
      <c r="M2" s="307" t="s">
        <v>73</v>
      </c>
      <c r="N2" s="304"/>
      <c r="O2" s="304"/>
      <c r="P2" s="308"/>
      <c r="Q2" s="309"/>
      <c r="R2" s="309"/>
    </row>
    <row r="3" spans="1:18" ht="26.4"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c r="Q3" s="165"/>
      <c r="R3" s="136"/>
    </row>
    <row r="4" spans="1:18" ht="39.6" customHeight="1" x14ac:dyDescent="0.25">
      <c r="A4" s="318" t="s">
        <v>74</v>
      </c>
      <c r="B4" s="318"/>
      <c r="C4" s="315"/>
      <c r="D4" s="315"/>
      <c r="E4" s="315"/>
      <c r="F4" s="315"/>
      <c r="G4" s="315"/>
      <c r="H4" s="315"/>
      <c r="I4" s="315"/>
      <c r="J4" s="315"/>
      <c r="K4" s="316" t="s">
        <v>104</v>
      </c>
      <c r="L4" s="317" t="s">
        <v>104</v>
      </c>
      <c r="M4" s="317" t="s">
        <v>104</v>
      </c>
      <c r="N4" s="304"/>
      <c r="O4" s="304"/>
      <c r="P4" s="304"/>
      <c r="Q4" s="304"/>
      <c r="R4" s="304"/>
    </row>
    <row r="5" spans="1:18" ht="52.95" customHeight="1" x14ac:dyDescent="0.25">
      <c r="A5" s="318"/>
      <c r="B5" s="319" t="s">
        <v>700</v>
      </c>
      <c r="C5" s="320">
        <v>1000</v>
      </c>
      <c r="D5" s="320">
        <v>1000</v>
      </c>
      <c r="E5" s="320">
        <v>1000</v>
      </c>
      <c r="F5" s="320">
        <v>1000</v>
      </c>
      <c r="G5" s="320">
        <v>1000</v>
      </c>
      <c r="H5" s="320">
        <v>1000</v>
      </c>
      <c r="I5" s="320">
        <v>1000</v>
      </c>
      <c r="J5" s="320">
        <v>1000</v>
      </c>
      <c r="K5" s="321" t="s">
        <v>104</v>
      </c>
      <c r="L5" s="321" t="s">
        <v>104</v>
      </c>
      <c r="M5" s="321" t="s">
        <v>104</v>
      </c>
      <c r="N5" s="304"/>
      <c r="O5" s="304"/>
      <c r="P5" s="304"/>
      <c r="Q5" s="304"/>
      <c r="R5" s="304"/>
    </row>
    <row r="6" spans="1:18" ht="37.200000000000003" customHeight="1" x14ac:dyDescent="0.25">
      <c r="A6" s="318"/>
      <c r="B6" s="319" t="s">
        <v>701</v>
      </c>
      <c r="C6" s="322">
        <f t="shared" ref="C6:J6" si="0">(1/C9)*C5*1000*24</f>
        <v>466562.986003111</v>
      </c>
      <c r="D6" s="322">
        <f t="shared" si="0"/>
        <v>493785.99551139225</v>
      </c>
      <c r="E6" s="322">
        <f t="shared" si="0"/>
        <v>518851.60843998648</v>
      </c>
      <c r="F6" s="322">
        <f t="shared" si="0"/>
        <v>555555.55555555562</v>
      </c>
      <c r="G6" s="322">
        <f t="shared" si="0"/>
        <v>481918.29709659278</v>
      </c>
      <c r="H6" s="322">
        <f t="shared" si="0"/>
        <v>437297.11779165646</v>
      </c>
      <c r="I6" s="322">
        <f t="shared" si="0"/>
        <v>568448.22307145223</v>
      </c>
      <c r="J6" s="322">
        <f t="shared" si="0"/>
        <v>543234.74141645315</v>
      </c>
      <c r="K6" s="321" t="s">
        <v>702</v>
      </c>
      <c r="L6" s="321" t="s">
        <v>104</v>
      </c>
      <c r="M6" s="321" t="s">
        <v>104</v>
      </c>
      <c r="N6" s="304"/>
      <c r="O6" s="304"/>
      <c r="P6" s="304"/>
      <c r="Q6" s="304"/>
      <c r="R6" s="304"/>
    </row>
    <row r="7" spans="1:18" x14ac:dyDescent="0.25">
      <c r="A7" s="318"/>
      <c r="B7" s="323" t="s">
        <v>106</v>
      </c>
      <c r="C7" s="320"/>
      <c r="D7" s="320"/>
      <c r="E7" s="320"/>
      <c r="F7" s="320"/>
      <c r="G7" s="320"/>
      <c r="H7" s="320"/>
      <c r="I7" s="320"/>
      <c r="J7" s="320"/>
      <c r="K7" s="321" t="s">
        <v>104</v>
      </c>
      <c r="L7" s="321" t="s">
        <v>104</v>
      </c>
      <c r="M7" s="321" t="s">
        <v>104</v>
      </c>
      <c r="N7" s="304"/>
      <c r="O7" s="304"/>
      <c r="P7" s="304"/>
      <c r="Q7" s="304"/>
      <c r="R7" s="304"/>
    </row>
    <row r="8" spans="1:18" x14ac:dyDescent="0.25">
      <c r="A8" s="318"/>
      <c r="B8" s="319" t="s">
        <v>703</v>
      </c>
      <c r="C8" s="320">
        <v>100</v>
      </c>
      <c r="D8" s="320">
        <v>100</v>
      </c>
      <c r="E8" s="320">
        <v>100</v>
      </c>
      <c r="F8" s="320">
        <v>100</v>
      </c>
      <c r="G8" s="320">
        <v>100</v>
      </c>
      <c r="H8" s="320">
        <v>100</v>
      </c>
      <c r="I8" s="320">
        <v>100</v>
      </c>
      <c r="J8" s="320">
        <v>100</v>
      </c>
      <c r="K8" s="321" t="s">
        <v>104</v>
      </c>
      <c r="L8" s="321" t="s">
        <v>104</v>
      </c>
      <c r="M8" s="321" t="s">
        <v>104</v>
      </c>
      <c r="N8" s="304"/>
      <c r="O8" s="304"/>
      <c r="P8" s="304"/>
      <c r="Q8" s="304"/>
      <c r="R8" s="304"/>
    </row>
    <row r="9" spans="1:18" ht="30" customHeight="1" x14ac:dyDescent="0.25">
      <c r="A9" s="318"/>
      <c r="B9" s="319" t="s">
        <v>704</v>
      </c>
      <c r="C9" s="324">
        <v>51.439999999999941</v>
      </c>
      <c r="D9" s="324">
        <v>48.604051589483142</v>
      </c>
      <c r="E9" s="324">
        <v>46.255999999999972</v>
      </c>
      <c r="F9" s="324">
        <v>43.199999999999996</v>
      </c>
      <c r="G9" s="324">
        <v>49.800972788525577</v>
      </c>
      <c r="H9" s="324">
        <v>54.882593604091475</v>
      </c>
      <c r="I9" s="324">
        <v>42.220204102886726</v>
      </c>
      <c r="J9" s="324">
        <v>44.179795897113266</v>
      </c>
      <c r="K9" s="321" t="s">
        <v>705</v>
      </c>
      <c r="L9" s="321" t="s">
        <v>706</v>
      </c>
      <c r="M9" s="321" t="s">
        <v>707</v>
      </c>
      <c r="N9" s="304"/>
      <c r="O9" s="304"/>
      <c r="P9" s="304"/>
      <c r="Q9" s="304"/>
      <c r="R9" s="304"/>
    </row>
    <row r="10" spans="1:18" x14ac:dyDescent="0.25">
      <c r="A10" s="318"/>
      <c r="B10" s="319" t="s">
        <v>708</v>
      </c>
      <c r="C10" s="324">
        <v>56.691302149178185</v>
      </c>
      <c r="D10" s="324">
        <v>53.56584320244238</v>
      </c>
      <c r="E10" s="324">
        <v>50.978088495575186</v>
      </c>
      <c r="F10" s="324">
        <v>47.610113780025273</v>
      </c>
      <c r="G10" s="324">
        <v>54.884953259667718</v>
      </c>
      <c r="H10" s="324">
        <v>60.485336250779696</v>
      </c>
      <c r="I10" s="324">
        <v>46.530294471164979</v>
      </c>
      <c r="J10" s="324">
        <v>48.689933088885567</v>
      </c>
      <c r="K10" s="321" t="s">
        <v>58</v>
      </c>
      <c r="L10" s="321" t="s">
        <v>706</v>
      </c>
      <c r="M10" s="321" t="s">
        <v>707</v>
      </c>
      <c r="N10" s="304"/>
      <c r="O10" s="304"/>
      <c r="P10" s="304"/>
      <c r="Q10" s="304"/>
      <c r="R10" s="304"/>
    </row>
    <row r="11" spans="1:18" ht="28.95" customHeight="1" x14ac:dyDescent="0.25">
      <c r="A11" s="318"/>
      <c r="B11" s="319" t="s">
        <v>709</v>
      </c>
      <c r="C11" s="322">
        <f t="shared" ref="C11:J11" si="1">C18+(C18*8)</f>
        <v>174.96111975116662</v>
      </c>
      <c r="D11" s="322">
        <f t="shared" si="1"/>
        <v>185.16974831677209</v>
      </c>
      <c r="E11" s="322">
        <f t="shared" si="1"/>
        <v>194.56935316499494</v>
      </c>
      <c r="F11" s="322">
        <f t="shared" si="1"/>
        <v>208.33333333333334</v>
      </c>
      <c r="G11" s="322">
        <f t="shared" si="1"/>
        <v>180.71936141122228</v>
      </c>
      <c r="H11" s="322">
        <f t="shared" si="1"/>
        <v>163.98641917187115</v>
      </c>
      <c r="I11" s="322">
        <f t="shared" si="1"/>
        <v>213.1680836517946</v>
      </c>
      <c r="J11" s="322">
        <f t="shared" si="1"/>
        <v>203.71302803116993</v>
      </c>
      <c r="K11" s="321" t="s">
        <v>104</v>
      </c>
      <c r="L11" s="321" t="s">
        <v>104</v>
      </c>
      <c r="M11" s="321" t="s">
        <v>104</v>
      </c>
      <c r="N11" s="304"/>
      <c r="O11" s="304"/>
      <c r="P11" s="304"/>
      <c r="Q11" s="304"/>
      <c r="R11" s="304"/>
    </row>
    <row r="12" spans="1:18" x14ac:dyDescent="0.25">
      <c r="A12" s="318"/>
      <c r="B12" s="323" t="s">
        <v>107</v>
      </c>
      <c r="C12" s="325"/>
      <c r="D12" s="325"/>
      <c r="E12" s="325"/>
      <c r="F12" s="325"/>
      <c r="G12" s="325"/>
      <c r="H12" s="325"/>
      <c r="I12" s="325"/>
      <c r="J12" s="325"/>
      <c r="K12" s="321" t="s">
        <v>104</v>
      </c>
      <c r="L12" s="321" t="s">
        <v>104</v>
      </c>
      <c r="M12" s="321" t="s">
        <v>104</v>
      </c>
      <c r="N12" s="304"/>
      <c r="O12" s="304"/>
      <c r="P12" s="304"/>
      <c r="Q12" s="304"/>
      <c r="R12" s="304"/>
    </row>
    <row r="13" spans="1:18" ht="26.4" customHeight="1" x14ac:dyDescent="0.25">
      <c r="A13" s="318"/>
      <c r="B13" s="319" t="s">
        <v>710</v>
      </c>
      <c r="C13" s="326">
        <f t="shared" ref="C13:J13" si="2">(33.3/C10)*100</f>
        <v>58.739169392112345</v>
      </c>
      <c r="D13" s="326">
        <f t="shared" si="2"/>
        <v>62.166481491103745</v>
      </c>
      <c r="E13" s="326">
        <f t="shared" si="2"/>
        <v>65.322182495897991</v>
      </c>
      <c r="F13" s="326">
        <f t="shared" si="2"/>
        <v>69.943122072459616</v>
      </c>
      <c r="G13" s="326">
        <f t="shared" si="2"/>
        <v>60.672366509001932</v>
      </c>
      <c r="H13" s="326">
        <f t="shared" si="2"/>
        <v>55.054666244945835</v>
      </c>
      <c r="I13" s="326">
        <f t="shared" si="2"/>
        <v>71.566278224686812</v>
      </c>
      <c r="J13" s="326">
        <f t="shared" si="2"/>
        <v>68.391960899205614</v>
      </c>
      <c r="K13" s="321" t="s">
        <v>84</v>
      </c>
      <c r="L13" s="321" t="s">
        <v>104</v>
      </c>
      <c r="M13" s="321" t="s">
        <v>104</v>
      </c>
      <c r="N13" s="304"/>
      <c r="O13" s="304"/>
      <c r="P13" s="304"/>
      <c r="Q13" s="304"/>
      <c r="R13" s="304"/>
    </row>
    <row r="14" spans="1:18" ht="27.6" customHeight="1" x14ac:dyDescent="0.25">
      <c r="A14" s="318"/>
      <c r="B14" s="319" t="s">
        <v>711</v>
      </c>
      <c r="C14" s="326">
        <f t="shared" ref="C14:J14" si="3">(C18*39.4/1000*100)-(33.3/C9)*100</f>
        <v>11.858475894245743</v>
      </c>
      <c r="D14" s="326">
        <f t="shared" si="3"/>
        <v>12.550394052581225</v>
      </c>
      <c r="E14" s="326">
        <f t="shared" si="3"/>
        <v>13.187478381182984</v>
      </c>
      <c r="F14" s="326">
        <f t="shared" si="3"/>
        <v>14.120370370370367</v>
      </c>
      <c r="G14" s="326">
        <f t="shared" si="3"/>
        <v>12.248756717871743</v>
      </c>
      <c r="H14" s="326">
        <f t="shared" si="3"/>
        <v>11.114635077204596</v>
      </c>
      <c r="I14" s="326">
        <f t="shared" si="3"/>
        <v>14.448059003066078</v>
      </c>
      <c r="J14" s="326">
        <f t="shared" si="3"/>
        <v>13.807216344334861</v>
      </c>
      <c r="K14" s="321" t="s">
        <v>712</v>
      </c>
      <c r="L14" s="321" t="s">
        <v>104</v>
      </c>
      <c r="M14" s="321" t="s">
        <v>104</v>
      </c>
      <c r="N14" s="304"/>
      <c r="O14" s="304"/>
      <c r="P14" s="304"/>
      <c r="Q14" s="304"/>
      <c r="R14" s="304"/>
    </row>
    <row r="15" spans="1:18" ht="27.6" customHeight="1" x14ac:dyDescent="0.25">
      <c r="A15" s="318"/>
      <c r="B15" s="319" t="s">
        <v>713</v>
      </c>
      <c r="C15" s="326">
        <f>100-C13-C14</f>
        <v>29.402354713641913</v>
      </c>
      <c r="D15" s="326">
        <f t="shared" ref="D15:I15" si="4">100-D13-D14</f>
        <v>25.283124456315029</v>
      </c>
      <c r="E15" s="326">
        <f t="shared" si="4"/>
        <v>21.490339122919025</v>
      </c>
      <c r="F15" s="326">
        <f t="shared" si="4"/>
        <v>15.936507557170017</v>
      </c>
      <c r="G15" s="326">
        <f t="shared" si="4"/>
        <v>27.078876773126325</v>
      </c>
      <c r="H15" s="326">
        <f t="shared" si="4"/>
        <v>33.830698677849568</v>
      </c>
      <c r="I15" s="326">
        <f t="shared" si="4"/>
        <v>13.98566277224711</v>
      </c>
      <c r="J15" s="326">
        <f>100-J13-J14</f>
        <v>17.800822756459524</v>
      </c>
      <c r="K15" s="321" t="s">
        <v>104</v>
      </c>
      <c r="L15" s="321" t="s">
        <v>104</v>
      </c>
      <c r="M15" s="321" t="s">
        <v>104</v>
      </c>
      <c r="N15" s="304"/>
      <c r="O15" s="304"/>
      <c r="P15" s="304"/>
      <c r="Q15" s="304"/>
      <c r="R15" s="304"/>
    </row>
    <row r="16" spans="1:18" ht="26.4" customHeight="1" x14ac:dyDescent="0.25">
      <c r="A16" s="318"/>
      <c r="B16" s="319" t="s">
        <v>714</v>
      </c>
      <c r="C16" s="324">
        <v>3</v>
      </c>
      <c r="D16" s="324">
        <v>3</v>
      </c>
      <c r="E16" s="324">
        <v>3</v>
      </c>
      <c r="F16" s="324">
        <v>3</v>
      </c>
      <c r="G16" s="324">
        <v>3</v>
      </c>
      <c r="H16" s="324">
        <v>3</v>
      </c>
      <c r="I16" s="324">
        <v>3</v>
      </c>
      <c r="J16" s="324">
        <v>3</v>
      </c>
      <c r="K16" s="321" t="s">
        <v>92</v>
      </c>
      <c r="L16" s="321" t="s">
        <v>104</v>
      </c>
      <c r="M16" s="321" t="s">
        <v>104</v>
      </c>
      <c r="N16" s="304"/>
      <c r="O16" s="304"/>
      <c r="P16" s="304"/>
      <c r="Q16" s="304"/>
      <c r="R16" s="304"/>
    </row>
    <row r="17" spans="1:18" ht="21" customHeight="1" x14ac:dyDescent="0.25">
      <c r="A17" s="318"/>
      <c r="B17" s="319" t="s">
        <v>715</v>
      </c>
      <c r="C17" s="326">
        <f t="shared" ref="C17:J17" si="5">C15-C16</f>
        <v>26.402354713641913</v>
      </c>
      <c r="D17" s="326">
        <f t="shared" si="5"/>
        <v>22.283124456315029</v>
      </c>
      <c r="E17" s="326">
        <f t="shared" si="5"/>
        <v>18.490339122919025</v>
      </c>
      <c r="F17" s="326">
        <f t="shared" si="5"/>
        <v>12.936507557170017</v>
      </c>
      <c r="G17" s="326">
        <f t="shared" si="5"/>
        <v>24.078876773126325</v>
      </c>
      <c r="H17" s="326">
        <f t="shared" si="5"/>
        <v>30.830698677849568</v>
      </c>
      <c r="I17" s="326">
        <f t="shared" si="5"/>
        <v>10.98566277224711</v>
      </c>
      <c r="J17" s="326">
        <f t="shared" si="5"/>
        <v>14.800822756459524</v>
      </c>
      <c r="K17" s="321" t="s">
        <v>93</v>
      </c>
      <c r="L17" s="321" t="s">
        <v>104</v>
      </c>
      <c r="M17" s="321" t="s">
        <v>104</v>
      </c>
      <c r="N17" s="304"/>
      <c r="O17" s="304"/>
      <c r="P17" s="304"/>
      <c r="Q17" s="304"/>
      <c r="R17" s="304"/>
    </row>
    <row r="18" spans="1:18" ht="30" customHeight="1" x14ac:dyDescent="0.25">
      <c r="A18" s="318"/>
      <c r="B18" s="319" t="s">
        <v>716</v>
      </c>
      <c r="C18" s="326">
        <f t="shared" ref="C18:J18" si="6">(C6/24)/C5</f>
        <v>19.440124416796291</v>
      </c>
      <c r="D18" s="326">
        <f t="shared" si="6"/>
        <v>20.574416479641343</v>
      </c>
      <c r="E18" s="326">
        <f t="shared" si="6"/>
        <v>21.61881701833277</v>
      </c>
      <c r="F18" s="326">
        <f t="shared" si="6"/>
        <v>23.148148148148149</v>
      </c>
      <c r="G18" s="326">
        <f t="shared" si="6"/>
        <v>20.079929045691365</v>
      </c>
      <c r="H18" s="326">
        <f t="shared" si="6"/>
        <v>18.220713241319018</v>
      </c>
      <c r="I18" s="326">
        <f t="shared" si="6"/>
        <v>23.685342627977178</v>
      </c>
      <c r="J18" s="326">
        <f t="shared" si="6"/>
        <v>22.634780892352214</v>
      </c>
      <c r="K18" s="321" t="s">
        <v>104</v>
      </c>
      <c r="L18" s="321" t="s">
        <v>104</v>
      </c>
      <c r="M18" s="321" t="s">
        <v>104</v>
      </c>
      <c r="N18" s="304"/>
      <c r="O18" s="304"/>
      <c r="P18" s="304"/>
      <c r="Q18" s="304"/>
      <c r="R18" s="304"/>
    </row>
    <row r="19" spans="1:18" x14ac:dyDescent="0.25">
      <c r="A19" s="318"/>
      <c r="B19" s="319" t="s">
        <v>310</v>
      </c>
      <c r="C19" s="324">
        <v>3</v>
      </c>
      <c r="D19" s="324">
        <v>3</v>
      </c>
      <c r="E19" s="324">
        <v>3</v>
      </c>
      <c r="F19" s="324">
        <v>3</v>
      </c>
      <c r="G19" s="324">
        <v>3</v>
      </c>
      <c r="H19" s="324">
        <v>3</v>
      </c>
      <c r="I19" s="324">
        <v>3</v>
      </c>
      <c r="J19" s="324">
        <v>3</v>
      </c>
      <c r="K19" s="321" t="s">
        <v>79</v>
      </c>
      <c r="L19" s="321" t="s">
        <v>104</v>
      </c>
      <c r="M19" s="321" t="s">
        <v>104</v>
      </c>
      <c r="N19" s="304"/>
      <c r="O19" s="304"/>
      <c r="P19" s="304"/>
      <c r="Q19" s="304"/>
      <c r="R19" s="304"/>
    </row>
    <row r="20" spans="1:18" ht="24.6" customHeight="1" x14ac:dyDescent="0.25">
      <c r="A20" s="318"/>
      <c r="B20" s="319" t="s">
        <v>717</v>
      </c>
      <c r="C20" s="320">
        <v>11</v>
      </c>
      <c r="D20" s="320">
        <v>11</v>
      </c>
      <c r="E20" s="320">
        <v>11</v>
      </c>
      <c r="F20" s="320">
        <v>11</v>
      </c>
      <c r="G20" s="320">
        <v>11</v>
      </c>
      <c r="H20" s="320">
        <v>11</v>
      </c>
      <c r="I20" s="320">
        <v>11</v>
      </c>
      <c r="J20" s="320">
        <v>11</v>
      </c>
      <c r="K20" s="321" t="s">
        <v>79</v>
      </c>
      <c r="L20" s="321" t="s">
        <v>104</v>
      </c>
      <c r="M20" s="321" t="s">
        <v>104</v>
      </c>
      <c r="N20" s="304"/>
      <c r="O20" s="304"/>
      <c r="P20" s="304"/>
      <c r="Q20" s="304"/>
      <c r="R20" s="304"/>
    </row>
    <row r="21" spans="1:18" x14ac:dyDescent="0.25">
      <c r="A21" s="318"/>
      <c r="B21" s="319" t="s">
        <v>217</v>
      </c>
      <c r="C21" s="320">
        <v>25</v>
      </c>
      <c r="D21" s="320">
        <v>25</v>
      </c>
      <c r="E21" s="320">
        <v>25</v>
      </c>
      <c r="F21" s="320">
        <v>25</v>
      </c>
      <c r="G21" s="320">
        <v>20</v>
      </c>
      <c r="H21" s="320">
        <v>30</v>
      </c>
      <c r="I21" s="320">
        <v>20</v>
      </c>
      <c r="J21" s="320">
        <v>30</v>
      </c>
      <c r="K21" s="321" t="s">
        <v>79</v>
      </c>
      <c r="L21" s="321" t="s">
        <v>104</v>
      </c>
      <c r="M21" s="321" t="s">
        <v>104</v>
      </c>
      <c r="N21" s="304"/>
      <c r="O21" s="304"/>
      <c r="P21" s="304"/>
      <c r="Q21" s="304"/>
      <c r="R21" s="304"/>
    </row>
    <row r="22" spans="1:18" ht="18" customHeight="1" x14ac:dyDescent="0.25">
      <c r="A22" s="318"/>
      <c r="B22" s="319" t="s">
        <v>718</v>
      </c>
      <c r="C22" s="320">
        <v>80000</v>
      </c>
      <c r="D22" s="320">
        <v>92500</v>
      </c>
      <c r="E22" s="320">
        <v>94500</v>
      </c>
      <c r="F22" s="320">
        <v>101500</v>
      </c>
      <c r="G22" s="320">
        <v>61500</v>
      </c>
      <c r="H22" s="320">
        <v>78500</v>
      </c>
      <c r="I22" s="320">
        <v>83000</v>
      </c>
      <c r="J22" s="320">
        <v>120000</v>
      </c>
      <c r="K22" s="321" t="s">
        <v>719</v>
      </c>
      <c r="L22" s="321" t="s">
        <v>720</v>
      </c>
      <c r="M22" s="321" t="s">
        <v>721</v>
      </c>
      <c r="N22" s="304"/>
      <c r="O22" s="304"/>
      <c r="P22" s="304"/>
      <c r="Q22" s="304"/>
      <c r="R22" s="304"/>
    </row>
    <row r="23" spans="1:18" ht="31.2" customHeight="1" x14ac:dyDescent="0.25">
      <c r="A23" s="318"/>
      <c r="B23" s="319" t="s">
        <v>218</v>
      </c>
      <c r="C23" s="324">
        <v>3</v>
      </c>
      <c r="D23" s="324">
        <v>3</v>
      </c>
      <c r="E23" s="324">
        <v>3</v>
      </c>
      <c r="F23" s="324">
        <v>3</v>
      </c>
      <c r="G23" s="324">
        <v>3</v>
      </c>
      <c r="H23" s="327" t="s">
        <v>722</v>
      </c>
      <c r="I23" s="324">
        <v>3</v>
      </c>
      <c r="J23" s="327" t="s">
        <v>722</v>
      </c>
      <c r="K23" s="321" t="s">
        <v>86</v>
      </c>
      <c r="L23" s="321" t="s">
        <v>104</v>
      </c>
      <c r="M23" s="321" t="s">
        <v>104</v>
      </c>
      <c r="N23" s="304"/>
      <c r="O23" s="304"/>
      <c r="P23" s="304"/>
      <c r="Q23" s="304"/>
      <c r="R23" s="304"/>
    </row>
    <row r="24" spans="1:18" ht="20.399999999999999" customHeight="1" x14ac:dyDescent="0.25">
      <c r="A24" s="318" t="s">
        <v>83</v>
      </c>
      <c r="B24" s="165"/>
      <c r="C24" s="328" t="s">
        <v>104</v>
      </c>
      <c r="D24" s="328" t="s">
        <v>104</v>
      </c>
      <c r="E24" s="328" t="s">
        <v>104</v>
      </c>
      <c r="F24" s="328" t="s">
        <v>104</v>
      </c>
      <c r="G24" s="328" t="s">
        <v>104</v>
      </c>
      <c r="H24" s="328" t="s">
        <v>104</v>
      </c>
      <c r="I24" s="328" t="s">
        <v>104</v>
      </c>
      <c r="J24" s="328" t="s">
        <v>104</v>
      </c>
      <c r="K24" s="321" t="s">
        <v>104</v>
      </c>
      <c r="L24" s="321" t="s">
        <v>104</v>
      </c>
      <c r="M24" s="321" t="s">
        <v>104</v>
      </c>
      <c r="N24" s="304"/>
      <c r="O24" s="304"/>
      <c r="P24" s="304"/>
      <c r="Q24" s="304"/>
      <c r="R24" s="304"/>
    </row>
    <row r="25" spans="1:18" ht="24.6" customHeight="1" x14ac:dyDescent="0.25">
      <c r="A25" s="318"/>
      <c r="B25" s="319" t="s">
        <v>723</v>
      </c>
      <c r="C25" s="320">
        <v>800</v>
      </c>
      <c r="D25" s="320">
        <v>500</v>
      </c>
      <c r="E25" s="320">
        <v>400</v>
      </c>
      <c r="F25" s="320">
        <v>275</v>
      </c>
      <c r="G25" s="320">
        <v>875</v>
      </c>
      <c r="H25" s="320">
        <v>1325</v>
      </c>
      <c r="I25" s="320">
        <v>225</v>
      </c>
      <c r="J25" s="320">
        <v>325</v>
      </c>
      <c r="K25" s="321" t="s">
        <v>724</v>
      </c>
      <c r="L25" s="321" t="s">
        <v>725</v>
      </c>
      <c r="M25" s="321" t="s">
        <v>726</v>
      </c>
      <c r="N25" s="304"/>
      <c r="O25" s="304"/>
      <c r="P25" s="304"/>
      <c r="Q25" s="304"/>
      <c r="R25" s="304"/>
    </row>
    <row r="26" spans="1:18" x14ac:dyDescent="0.25">
      <c r="A26" s="318"/>
      <c r="B26" s="319" t="s">
        <v>727</v>
      </c>
      <c r="C26" s="322">
        <f t="shared" ref="C26:J26" si="7">C$25*23.8237503698052%</f>
        <v>190.5900029584416</v>
      </c>
      <c r="D26" s="322">
        <f t="shared" si="7"/>
        <v>119.118751849026</v>
      </c>
      <c r="E26" s="322">
        <f t="shared" si="7"/>
        <v>95.295001479220801</v>
      </c>
      <c r="F26" s="322">
        <f t="shared" si="7"/>
        <v>65.515313516964298</v>
      </c>
      <c r="G26" s="322">
        <f t="shared" si="7"/>
        <v>208.45781573579549</v>
      </c>
      <c r="H26" s="322">
        <f t="shared" si="7"/>
        <v>315.66469239991892</v>
      </c>
      <c r="I26" s="322">
        <f t="shared" si="7"/>
        <v>53.6034383320617</v>
      </c>
      <c r="J26" s="322">
        <f t="shared" si="7"/>
        <v>77.427188701866896</v>
      </c>
      <c r="K26" s="321" t="s">
        <v>728</v>
      </c>
      <c r="L26" s="321" t="s">
        <v>104</v>
      </c>
      <c r="M26" s="321" t="s">
        <v>104</v>
      </c>
      <c r="N26" s="304"/>
      <c r="O26" s="304"/>
      <c r="P26" s="304"/>
      <c r="Q26" s="304"/>
      <c r="R26" s="304"/>
    </row>
    <row r="27" spans="1:18" ht="21" customHeight="1" x14ac:dyDescent="0.25">
      <c r="A27" s="318"/>
      <c r="B27" s="319" t="s">
        <v>729</v>
      </c>
      <c r="C27" s="322">
        <f t="shared" ref="C27:J27" si="8">C$25*51.1531229792167%</f>
        <v>409.22498383373352</v>
      </c>
      <c r="D27" s="322">
        <f t="shared" si="8"/>
        <v>255.76561489608346</v>
      </c>
      <c r="E27" s="322">
        <f t="shared" si="8"/>
        <v>204.61249191686676</v>
      </c>
      <c r="F27" s="322">
        <f t="shared" si="8"/>
        <v>140.6710881928459</v>
      </c>
      <c r="G27" s="322">
        <f t="shared" si="8"/>
        <v>447.58982606814607</v>
      </c>
      <c r="H27" s="322">
        <f t="shared" si="8"/>
        <v>677.77887947462114</v>
      </c>
      <c r="I27" s="322">
        <f t="shared" si="8"/>
        <v>115.09452670323756</v>
      </c>
      <c r="J27" s="322">
        <f t="shared" si="8"/>
        <v>166.24764968245424</v>
      </c>
      <c r="K27" s="321" t="s">
        <v>728</v>
      </c>
      <c r="L27" s="321" t="s">
        <v>104</v>
      </c>
      <c r="M27" s="321" t="s">
        <v>104</v>
      </c>
      <c r="N27" s="304"/>
      <c r="O27" s="304"/>
      <c r="P27" s="304"/>
      <c r="Q27" s="304"/>
      <c r="R27" s="304"/>
    </row>
    <row r="28" spans="1:18" ht="19.2" customHeight="1" x14ac:dyDescent="0.25">
      <c r="A28" s="318"/>
      <c r="B28" s="319" t="s">
        <v>730</v>
      </c>
      <c r="C28" s="322">
        <f t="shared" ref="C28:J28" si="9">C$25*12.820203949911%</f>
        <v>102.56163159928802</v>
      </c>
      <c r="D28" s="322">
        <f t="shared" si="9"/>
        <v>64.101019749555007</v>
      </c>
      <c r="E28" s="322">
        <f t="shared" si="9"/>
        <v>51.28081579964401</v>
      </c>
      <c r="F28" s="322">
        <f t="shared" si="9"/>
        <v>35.255560862255258</v>
      </c>
      <c r="G28" s="322">
        <f t="shared" si="9"/>
        <v>112.17678456172126</v>
      </c>
      <c r="H28" s="322">
        <f t="shared" si="9"/>
        <v>169.86770233632078</v>
      </c>
      <c r="I28" s="322">
        <f t="shared" si="9"/>
        <v>28.845458887299756</v>
      </c>
      <c r="J28" s="322">
        <f t="shared" si="9"/>
        <v>41.665662837210753</v>
      </c>
      <c r="K28" s="321" t="s">
        <v>728</v>
      </c>
      <c r="L28" s="321" t="s">
        <v>104</v>
      </c>
      <c r="M28" s="321" t="s">
        <v>104</v>
      </c>
      <c r="N28" s="304"/>
      <c r="O28" s="304"/>
      <c r="P28" s="304"/>
      <c r="Q28" s="304"/>
      <c r="R28" s="304"/>
    </row>
    <row r="29" spans="1:18" ht="19.95" customHeight="1" x14ac:dyDescent="0.25">
      <c r="A29" s="318"/>
      <c r="B29" s="319" t="s">
        <v>731</v>
      </c>
      <c r="C29" s="322">
        <f t="shared" ref="C29:J29" si="10">C$25*4.96790209244097%</f>
        <v>39.74321673952776</v>
      </c>
      <c r="D29" s="322">
        <f t="shared" si="10"/>
        <v>24.839510462204849</v>
      </c>
      <c r="E29" s="322">
        <f t="shared" si="10"/>
        <v>19.87160836976388</v>
      </c>
      <c r="F29" s="322">
        <f t="shared" si="10"/>
        <v>13.661730754212668</v>
      </c>
      <c r="G29" s="322">
        <f t="shared" si="10"/>
        <v>43.469143308858484</v>
      </c>
      <c r="H29" s="322">
        <f t="shared" si="10"/>
        <v>65.824702724842851</v>
      </c>
      <c r="I29" s="322">
        <f t="shared" si="10"/>
        <v>11.177779707992181</v>
      </c>
      <c r="J29" s="322">
        <f t="shared" si="10"/>
        <v>16.145681800433152</v>
      </c>
      <c r="K29" s="321" t="s">
        <v>728</v>
      </c>
      <c r="L29" s="321" t="s">
        <v>104</v>
      </c>
      <c r="M29" s="321" t="s">
        <v>104</v>
      </c>
      <c r="N29" s="304"/>
      <c r="O29" s="304"/>
      <c r="P29" s="304"/>
      <c r="Q29" s="304"/>
      <c r="R29" s="304"/>
    </row>
    <row r="30" spans="1:18" ht="39.6" customHeight="1" x14ac:dyDescent="0.25">
      <c r="A30" s="318"/>
      <c r="B30" s="319" t="s">
        <v>732</v>
      </c>
      <c r="C30" s="322">
        <f t="shared" ref="C30:J30" si="11">C$25*2.92880051293232%</f>
        <v>23.43040410345856</v>
      </c>
      <c r="D30" s="322">
        <f t="shared" si="11"/>
        <v>14.6440025646616</v>
      </c>
      <c r="E30" s="322">
        <f t="shared" si="11"/>
        <v>11.71520205172928</v>
      </c>
      <c r="F30" s="322">
        <f t="shared" si="11"/>
        <v>8.0542014105638806</v>
      </c>
      <c r="G30" s="322">
        <f t="shared" si="11"/>
        <v>25.627004488157802</v>
      </c>
      <c r="H30" s="322">
        <f t="shared" si="11"/>
        <v>38.806606796353243</v>
      </c>
      <c r="I30" s="322">
        <f t="shared" si="11"/>
        <v>6.5898011540977199</v>
      </c>
      <c r="J30" s="322">
        <f t="shared" si="11"/>
        <v>9.5186016670300404</v>
      </c>
      <c r="K30" s="321" t="s">
        <v>728</v>
      </c>
      <c r="L30" s="321" t="s">
        <v>104</v>
      </c>
      <c r="M30" s="321" t="s">
        <v>104</v>
      </c>
      <c r="N30" s="304"/>
      <c r="O30" s="304"/>
      <c r="P30" s="304"/>
      <c r="Q30" s="304"/>
      <c r="R30" s="304"/>
    </row>
    <row r="31" spans="1:18" ht="39.6" customHeight="1" x14ac:dyDescent="0.25">
      <c r="A31" s="318"/>
      <c r="B31" s="319" t="s">
        <v>733</v>
      </c>
      <c r="C31" s="322">
        <f t="shared" ref="C31:J31" si="12">C$25*4.30622009569378%</f>
        <v>34.449760765550238</v>
      </c>
      <c r="D31" s="322">
        <f t="shared" si="12"/>
        <v>21.531100478468897</v>
      </c>
      <c r="E31" s="322">
        <f t="shared" si="12"/>
        <v>17.224880382775119</v>
      </c>
      <c r="F31" s="322">
        <f t="shared" si="12"/>
        <v>11.842105263157894</v>
      </c>
      <c r="G31" s="322">
        <f t="shared" si="12"/>
        <v>37.679425837320572</v>
      </c>
      <c r="H31" s="322">
        <f t="shared" si="12"/>
        <v>57.057416267942578</v>
      </c>
      <c r="I31" s="322">
        <f t="shared" si="12"/>
        <v>9.6889952153110031</v>
      </c>
      <c r="J31" s="322">
        <f t="shared" si="12"/>
        <v>13.995215311004783</v>
      </c>
      <c r="K31" s="321" t="s">
        <v>728</v>
      </c>
      <c r="L31" s="321" t="s">
        <v>104</v>
      </c>
      <c r="M31" s="321" t="s">
        <v>104</v>
      </c>
      <c r="N31" s="304"/>
      <c r="O31" s="304"/>
      <c r="P31" s="304"/>
      <c r="Q31" s="304"/>
      <c r="R31" s="304"/>
    </row>
    <row r="32" spans="1:18" ht="22.95" customHeight="1" x14ac:dyDescent="0.25">
      <c r="A32" s="318"/>
      <c r="B32" s="319" t="s">
        <v>734</v>
      </c>
      <c r="C32" s="322">
        <f t="shared" ref="C32:J32" si="13">C25/(C6/1000/C5)</f>
        <v>1714.6666666666645</v>
      </c>
      <c r="D32" s="322">
        <f t="shared" si="13"/>
        <v>1012.5844081142321</v>
      </c>
      <c r="E32" s="322">
        <f t="shared" si="13"/>
        <v>770.93333333333294</v>
      </c>
      <c r="F32" s="322">
        <f t="shared" si="13"/>
        <v>494.99999999999989</v>
      </c>
      <c r="G32" s="322">
        <f t="shared" si="13"/>
        <v>1815.6604662483282</v>
      </c>
      <c r="H32" s="322">
        <f t="shared" si="13"/>
        <v>3029.97652189255</v>
      </c>
      <c r="I32" s="322">
        <f t="shared" si="13"/>
        <v>395.81441346456307</v>
      </c>
      <c r="J32" s="322">
        <f t="shared" si="13"/>
        <v>598.26806944007535</v>
      </c>
      <c r="K32" s="321" t="s">
        <v>735</v>
      </c>
      <c r="L32" s="321" t="s">
        <v>104</v>
      </c>
      <c r="M32" s="321" t="s">
        <v>104</v>
      </c>
      <c r="N32" s="304"/>
      <c r="O32" s="304"/>
      <c r="P32" s="304"/>
      <c r="Q32" s="304"/>
      <c r="R32" s="304"/>
    </row>
    <row r="33" spans="1:18" ht="19.95" customHeight="1" x14ac:dyDescent="0.25">
      <c r="A33" s="318"/>
      <c r="B33" s="319" t="s">
        <v>736</v>
      </c>
      <c r="C33" s="320">
        <v>90</v>
      </c>
      <c r="D33" s="320">
        <v>90</v>
      </c>
      <c r="E33" s="320">
        <v>90</v>
      </c>
      <c r="F33" s="320">
        <v>90</v>
      </c>
      <c r="G33" s="320">
        <v>90</v>
      </c>
      <c r="H33" s="320">
        <v>90</v>
      </c>
      <c r="I33" s="320">
        <v>90</v>
      </c>
      <c r="J33" s="320">
        <v>90</v>
      </c>
      <c r="K33" s="321" t="s">
        <v>737</v>
      </c>
      <c r="L33" s="321" t="s">
        <v>104</v>
      </c>
      <c r="M33" s="321" t="s">
        <v>104</v>
      </c>
      <c r="N33" s="304"/>
      <c r="O33" s="304"/>
      <c r="P33" s="304"/>
      <c r="Q33" s="304"/>
      <c r="R33" s="304"/>
    </row>
    <row r="34" spans="1:18" ht="20.399999999999999" customHeight="1" x14ac:dyDescent="0.25">
      <c r="A34" s="318"/>
      <c r="B34" s="319" t="s">
        <v>738</v>
      </c>
      <c r="C34" s="320">
        <v>10</v>
      </c>
      <c r="D34" s="320">
        <v>10</v>
      </c>
      <c r="E34" s="320">
        <v>10</v>
      </c>
      <c r="F34" s="320">
        <v>10</v>
      </c>
      <c r="G34" s="320">
        <v>10</v>
      </c>
      <c r="H34" s="320">
        <v>10</v>
      </c>
      <c r="I34" s="320">
        <v>10</v>
      </c>
      <c r="J34" s="320">
        <v>10</v>
      </c>
      <c r="K34" s="321" t="s">
        <v>737</v>
      </c>
      <c r="L34" s="321" t="s">
        <v>104</v>
      </c>
      <c r="M34" s="321" t="s">
        <v>104</v>
      </c>
      <c r="N34" s="304"/>
      <c r="O34" s="304"/>
      <c r="P34" s="304"/>
      <c r="Q34" s="304"/>
      <c r="R34" s="304"/>
    </row>
    <row r="35" spans="1:18" x14ac:dyDescent="0.25">
      <c r="A35" s="318"/>
      <c r="B35" s="319" t="s">
        <v>739</v>
      </c>
      <c r="C35" s="320">
        <v>4</v>
      </c>
      <c r="D35" s="320">
        <v>4</v>
      </c>
      <c r="E35" s="320">
        <v>4</v>
      </c>
      <c r="F35" s="320">
        <v>4</v>
      </c>
      <c r="G35" s="320">
        <v>4</v>
      </c>
      <c r="H35" s="320">
        <v>4</v>
      </c>
      <c r="I35" s="320">
        <v>4</v>
      </c>
      <c r="J35" s="320">
        <v>4</v>
      </c>
      <c r="K35" s="321" t="s">
        <v>740</v>
      </c>
      <c r="L35" s="321" t="s">
        <v>741</v>
      </c>
      <c r="M35" s="321" t="s">
        <v>742</v>
      </c>
      <c r="N35" s="304"/>
      <c r="O35" s="304"/>
      <c r="P35" s="304"/>
      <c r="Q35" s="304"/>
      <c r="R35" s="304"/>
    </row>
    <row r="36" spans="1:18" ht="24.6" customHeight="1" x14ac:dyDescent="0.25">
      <c r="A36" s="318"/>
      <c r="B36" s="319" t="s">
        <v>743</v>
      </c>
      <c r="C36" s="320" t="s">
        <v>85</v>
      </c>
      <c r="D36" s="320" t="s">
        <v>85</v>
      </c>
      <c r="E36" s="320" t="s">
        <v>85</v>
      </c>
      <c r="F36" s="320" t="s">
        <v>85</v>
      </c>
      <c r="G36" s="320" t="s">
        <v>104</v>
      </c>
      <c r="H36" s="320" t="s">
        <v>104</v>
      </c>
      <c r="I36" s="320" t="s">
        <v>104</v>
      </c>
      <c r="J36" s="320" t="s">
        <v>104</v>
      </c>
      <c r="K36" s="321" t="s">
        <v>744</v>
      </c>
      <c r="L36" s="321" t="s">
        <v>104</v>
      </c>
      <c r="M36" s="321" t="s">
        <v>104</v>
      </c>
      <c r="N36" s="304"/>
      <c r="O36" s="304"/>
      <c r="P36" s="304"/>
      <c r="Q36" s="304"/>
      <c r="R36" s="304"/>
    </row>
    <row r="37" spans="1:18" ht="39.6" customHeight="1" x14ac:dyDescent="0.25">
      <c r="A37" s="318" t="s">
        <v>87</v>
      </c>
      <c r="B37" s="318"/>
      <c r="C37" s="320" t="s">
        <v>104</v>
      </c>
      <c r="D37" s="320" t="s">
        <v>104</v>
      </c>
      <c r="E37" s="320" t="s">
        <v>104</v>
      </c>
      <c r="F37" s="320" t="s">
        <v>104</v>
      </c>
      <c r="G37" s="320" t="s">
        <v>104</v>
      </c>
      <c r="H37" s="320" t="s">
        <v>104</v>
      </c>
      <c r="I37" s="320" t="s">
        <v>104</v>
      </c>
      <c r="J37" s="320" t="s">
        <v>104</v>
      </c>
      <c r="K37" s="321" t="s">
        <v>104</v>
      </c>
      <c r="L37" s="321" t="s">
        <v>104</v>
      </c>
      <c r="M37" s="321" t="s">
        <v>104</v>
      </c>
      <c r="N37" s="304"/>
      <c r="O37" s="304"/>
      <c r="P37" s="304"/>
      <c r="Q37" s="304"/>
      <c r="R37" s="304"/>
    </row>
    <row r="38" spans="1:18" ht="42" customHeight="1" x14ac:dyDescent="0.25">
      <c r="A38" s="318"/>
      <c r="B38" s="319" t="s">
        <v>745</v>
      </c>
      <c r="C38" s="324">
        <v>0.8</v>
      </c>
      <c r="D38" s="324">
        <v>1</v>
      </c>
      <c r="E38" s="324">
        <v>1.2</v>
      </c>
      <c r="F38" s="324">
        <v>1.5</v>
      </c>
      <c r="G38" s="324">
        <v>0.4</v>
      </c>
      <c r="H38" s="324">
        <v>0.6</v>
      </c>
      <c r="I38" s="324">
        <v>1.2</v>
      </c>
      <c r="J38" s="324">
        <v>1.5</v>
      </c>
      <c r="K38" s="321" t="s">
        <v>746</v>
      </c>
      <c r="L38" s="321" t="s">
        <v>741</v>
      </c>
      <c r="M38" s="321" t="s">
        <v>742</v>
      </c>
      <c r="N38" s="304"/>
      <c r="O38" s="304"/>
      <c r="P38" s="304"/>
      <c r="Q38" s="304"/>
      <c r="R38" s="304"/>
    </row>
    <row r="39" spans="1:18" x14ac:dyDescent="0.25">
      <c r="A39" s="318"/>
      <c r="B39" s="319" t="s">
        <v>747</v>
      </c>
      <c r="C39" s="328">
        <v>0</v>
      </c>
      <c r="D39" s="328">
        <v>0</v>
      </c>
      <c r="E39" s="328">
        <v>0</v>
      </c>
      <c r="F39" s="328">
        <v>0</v>
      </c>
      <c r="G39" s="328">
        <v>0</v>
      </c>
      <c r="H39" s="328">
        <v>0</v>
      </c>
      <c r="I39" s="328">
        <v>0</v>
      </c>
      <c r="J39" s="328">
        <v>0</v>
      </c>
      <c r="K39" s="321" t="s">
        <v>104</v>
      </c>
      <c r="L39" s="321" t="s">
        <v>104</v>
      </c>
      <c r="M39" s="321" t="s">
        <v>104</v>
      </c>
      <c r="N39" s="304"/>
      <c r="O39" s="304"/>
      <c r="P39" s="304"/>
      <c r="Q39" s="304"/>
      <c r="R39" s="304"/>
    </row>
    <row r="40" spans="1:18" x14ac:dyDescent="0.25">
      <c r="A40" s="318"/>
      <c r="B40" s="329" t="s">
        <v>748</v>
      </c>
      <c r="C40" s="324">
        <v>60.416666666666671</v>
      </c>
      <c r="D40" s="324">
        <v>30</v>
      </c>
      <c r="E40" s="324" t="s">
        <v>749</v>
      </c>
      <c r="F40" s="324" t="s">
        <v>749</v>
      </c>
      <c r="G40" s="324">
        <v>49.896035992984999</v>
      </c>
      <c r="H40" s="324">
        <v>105</v>
      </c>
      <c r="I40" s="324" t="s">
        <v>749</v>
      </c>
      <c r="J40" s="324" t="s">
        <v>749</v>
      </c>
      <c r="K40" s="321" t="s">
        <v>750</v>
      </c>
      <c r="L40" s="321" t="s">
        <v>751</v>
      </c>
      <c r="M40" s="321" t="s">
        <v>752</v>
      </c>
      <c r="N40" s="304"/>
      <c r="O40" s="304"/>
      <c r="P40" s="304"/>
      <c r="Q40" s="304"/>
      <c r="R40" s="304"/>
    </row>
    <row r="41" spans="1:18" x14ac:dyDescent="0.25">
      <c r="A41" s="318"/>
      <c r="B41" s="319" t="s">
        <v>753</v>
      </c>
      <c r="C41" s="324">
        <v>5</v>
      </c>
      <c r="D41" s="324">
        <v>5</v>
      </c>
      <c r="E41" s="324">
        <v>10</v>
      </c>
      <c r="F41" s="324">
        <v>10</v>
      </c>
      <c r="G41" s="324">
        <v>1.5</v>
      </c>
      <c r="H41" s="324">
        <v>2.5</v>
      </c>
      <c r="I41" s="324">
        <v>10</v>
      </c>
      <c r="J41" s="324">
        <v>10</v>
      </c>
      <c r="K41" s="321" t="s">
        <v>104</v>
      </c>
      <c r="L41" s="321" t="s">
        <v>754</v>
      </c>
      <c r="M41" s="321" t="s">
        <v>755</v>
      </c>
      <c r="N41" s="304"/>
      <c r="O41" s="304"/>
      <c r="P41" s="304"/>
      <c r="Q41" s="304"/>
      <c r="R41" s="304"/>
    </row>
    <row r="42" spans="1:18" x14ac:dyDescent="0.25">
      <c r="A42" s="318"/>
      <c r="B42" s="319" t="s">
        <v>756</v>
      </c>
      <c r="C42" s="328">
        <v>0.13</v>
      </c>
      <c r="D42" s="328">
        <v>0.115</v>
      </c>
      <c r="E42" s="328">
        <v>0.11</v>
      </c>
      <c r="F42" s="328">
        <v>0.1</v>
      </c>
      <c r="G42" s="328">
        <v>0.12458758547680701</v>
      </c>
      <c r="H42" s="328">
        <v>0.16541241452319302</v>
      </c>
      <c r="I42" s="328">
        <v>0.11064995540340515</v>
      </c>
      <c r="J42" s="328">
        <v>8.935004459659486E-2</v>
      </c>
      <c r="K42" s="321" t="s">
        <v>757</v>
      </c>
      <c r="L42" s="321" t="s">
        <v>758</v>
      </c>
      <c r="M42" s="321" t="s">
        <v>759</v>
      </c>
      <c r="N42" s="304"/>
      <c r="O42" s="304"/>
      <c r="P42" s="304"/>
      <c r="Q42" s="304"/>
      <c r="R42" s="304"/>
    </row>
    <row r="43" spans="1:18" x14ac:dyDescent="0.25">
      <c r="A43" s="318"/>
      <c r="B43" s="319" t="s">
        <v>760</v>
      </c>
      <c r="C43" s="320">
        <v>21.276595744680851</v>
      </c>
      <c r="D43" s="320">
        <v>12.5</v>
      </c>
      <c r="E43" s="320">
        <v>10.372340425531915</v>
      </c>
      <c r="F43" s="320">
        <v>8.2978723404255312</v>
      </c>
      <c r="G43" s="320">
        <v>37.5</v>
      </c>
      <c r="H43" s="320">
        <v>18.75</v>
      </c>
      <c r="I43" s="320">
        <v>12.446808510638297</v>
      </c>
      <c r="J43" s="320">
        <v>6.2234042553191484</v>
      </c>
      <c r="K43" s="321" t="s">
        <v>761</v>
      </c>
      <c r="L43" s="321" t="s">
        <v>104</v>
      </c>
      <c r="M43" s="321" t="s">
        <v>104</v>
      </c>
      <c r="N43" s="304"/>
      <c r="O43" s="304"/>
      <c r="P43" s="304"/>
      <c r="Q43" s="304"/>
      <c r="R43" s="304"/>
    </row>
    <row r="44" spans="1:18" x14ac:dyDescent="0.25">
      <c r="A44" s="318"/>
      <c r="B44" s="319" t="s">
        <v>762</v>
      </c>
      <c r="C44" s="320">
        <v>168.51063829787233</v>
      </c>
      <c r="D44" s="320">
        <v>99</v>
      </c>
      <c r="E44" s="320">
        <v>82.148936170212764</v>
      </c>
      <c r="F44" s="320">
        <v>65.7191489361702</v>
      </c>
      <c r="G44" s="322">
        <v>158.4</v>
      </c>
      <c r="H44" s="322">
        <v>297</v>
      </c>
      <c r="I44" s="322">
        <v>52.57531914893616</v>
      </c>
      <c r="J44" s="322">
        <v>98.5787234042553</v>
      </c>
      <c r="K44" s="321" t="s">
        <v>763</v>
      </c>
      <c r="L44" s="321" t="s">
        <v>104</v>
      </c>
      <c r="M44" s="321" t="s">
        <v>104</v>
      </c>
      <c r="N44" s="330"/>
      <c r="O44" s="304" t="s">
        <v>764</v>
      </c>
      <c r="P44" s="304"/>
      <c r="Q44" s="304"/>
      <c r="R44" s="304"/>
    </row>
    <row r="45" spans="1:18" ht="13.8" thickBot="1" x14ac:dyDescent="0.3">
      <c r="A45" s="331"/>
      <c r="B45" s="332" t="s">
        <v>765</v>
      </c>
      <c r="C45" s="333">
        <v>17.999999999999996</v>
      </c>
      <c r="D45" s="333">
        <v>14.399999999999999</v>
      </c>
      <c r="E45" s="333">
        <v>12</v>
      </c>
      <c r="F45" s="333">
        <v>9.6</v>
      </c>
      <c r="G45" s="333">
        <v>16</v>
      </c>
      <c r="H45" s="333">
        <v>24</v>
      </c>
      <c r="I45" s="333">
        <v>7.6799999999999988</v>
      </c>
      <c r="J45" s="333">
        <v>9.6</v>
      </c>
      <c r="K45" s="334" t="s">
        <v>766</v>
      </c>
      <c r="L45" s="334" t="s">
        <v>104</v>
      </c>
      <c r="M45" s="334" t="s">
        <v>104</v>
      </c>
      <c r="N45" s="304"/>
      <c r="O45" s="304"/>
      <c r="P45" s="304"/>
      <c r="Q45" s="304"/>
      <c r="R45" s="304"/>
    </row>
    <row r="46" spans="1:18" x14ac:dyDescent="0.25">
      <c r="A46" s="318"/>
      <c r="B46" s="304"/>
      <c r="C46" s="335"/>
      <c r="D46" s="335"/>
      <c r="E46" s="335"/>
      <c r="F46" s="335"/>
      <c r="G46" s="335"/>
      <c r="H46" s="335"/>
      <c r="I46" s="335"/>
      <c r="J46" s="335"/>
      <c r="K46" s="316"/>
      <c r="L46" s="336"/>
      <c r="M46" s="336"/>
      <c r="N46" s="304"/>
      <c r="O46" s="304"/>
      <c r="P46" s="304"/>
      <c r="Q46" s="304"/>
      <c r="R46" s="304"/>
    </row>
    <row r="47" spans="1:18" x14ac:dyDescent="0.25">
      <c r="A47" s="318"/>
      <c r="B47" s="304"/>
      <c r="C47" s="304"/>
      <c r="D47" s="304"/>
      <c r="E47" s="304"/>
      <c r="F47" s="304"/>
      <c r="G47" s="304"/>
      <c r="H47" s="304"/>
      <c r="I47" s="304"/>
      <c r="J47" s="304"/>
      <c r="K47" s="304"/>
      <c r="L47" s="304"/>
      <c r="M47" s="304"/>
      <c r="N47" s="304"/>
      <c r="O47" s="304"/>
      <c r="P47" s="304"/>
      <c r="Q47" s="304"/>
      <c r="R47" s="304"/>
    </row>
    <row r="48" spans="1:18" x14ac:dyDescent="0.25">
      <c r="A48" s="337"/>
      <c r="B48" s="304"/>
      <c r="C48" s="304"/>
      <c r="D48" s="304"/>
      <c r="E48" s="304"/>
      <c r="F48" s="304"/>
      <c r="G48" s="304"/>
      <c r="H48" s="304"/>
      <c r="I48" s="304"/>
      <c r="J48" s="304"/>
      <c r="K48" s="304"/>
      <c r="L48" s="304"/>
      <c r="M48" s="304"/>
      <c r="N48" s="304"/>
      <c r="O48" s="304"/>
      <c r="P48" s="304"/>
      <c r="Q48" s="304"/>
      <c r="R48" s="304"/>
    </row>
    <row r="49" spans="1:18" x14ac:dyDescent="0.25">
      <c r="A49" s="165"/>
      <c r="B49" s="304"/>
      <c r="C49" s="304"/>
      <c r="D49" s="304"/>
      <c r="E49" s="304"/>
      <c r="F49" s="304"/>
      <c r="G49" s="304"/>
      <c r="H49" s="304"/>
      <c r="I49" s="304"/>
      <c r="J49" s="304"/>
      <c r="K49" s="304"/>
      <c r="L49" s="304"/>
      <c r="M49" s="304"/>
      <c r="N49" s="304"/>
      <c r="O49" s="304"/>
      <c r="P49" s="304"/>
      <c r="Q49" s="304"/>
      <c r="R49" s="304"/>
    </row>
    <row r="50" spans="1:18" x14ac:dyDescent="0.25">
      <c r="A50" s="358" t="s">
        <v>89</v>
      </c>
      <c r="B50" s="358" t="s">
        <v>104</v>
      </c>
      <c r="C50" s="358"/>
      <c r="D50" s="358"/>
      <c r="E50" s="358"/>
      <c r="F50" s="358"/>
      <c r="G50" s="358"/>
      <c r="H50" s="358"/>
      <c r="I50" s="358"/>
      <c r="J50" s="358"/>
      <c r="K50" s="358"/>
      <c r="L50" s="358"/>
      <c r="M50" s="358"/>
      <c r="N50" s="304"/>
      <c r="O50" s="304"/>
      <c r="P50" s="304"/>
      <c r="Q50" s="304"/>
      <c r="R50" s="304"/>
    </row>
    <row r="51" spans="1:18" x14ac:dyDescent="0.25">
      <c r="A51" s="338" t="s">
        <v>104</v>
      </c>
      <c r="B51" s="359" t="s">
        <v>767</v>
      </c>
      <c r="C51" s="359"/>
      <c r="D51" s="359"/>
      <c r="E51" s="359"/>
      <c r="F51" s="359"/>
      <c r="G51" s="359"/>
      <c r="H51" s="359"/>
      <c r="I51" s="359"/>
      <c r="J51" s="359"/>
      <c r="K51" s="359"/>
      <c r="L51" s="359"/>
      <c r="M51" s="359"/>
      <c r="N51" s="339"/>
      <c r="O51" s="304"/>
      <c r="P51" s="304"/>
      <c r="Q51" s="304"/>
      <c r="R51" s="304"/>
    </row>
    <row r="52" spans="1:18" x14ac:dyDescent="0.25">
      <c r="A52" s="338" t="s">
        <v>104</v>
      </c>
      <c r="B52" s="359" t="s">
        <v>768</v>
      </c>
      <c r="C52" s="359"/>
      <c r="D52" s="359"/>
      <c r="E52" s="359"/>
      <c r="F52" s="359"/>
      <c r="G52" s="359"/>
      <c r="H52" s="359"/>
      <c r="I52" s="359"/>
      <c r="J52" s="359"/>
      <c r="K52" s="359"/>
      <c r="L52" s="359"/>
      <c r="M52" s="359"/>
      <c r="N52" s="339"/>
      <c r="O52" s="304"/>
      <c r="P52" s="304"/>
      <c r="Q52" s="304"/>
      <c r="R52" s="304"/>
    </row>
    <row r="53" spans="1:18" x14ac:dyDescent="0.25">
      <c r="A53" s="338" t="s">
        <v>104</v>
      </c>
      <c r="B53" s="359" t="s">
        <v>769</v>
      </c>
      <c r="C53" s="359"/>
      <c r="D53" s="359"/>
      <c r="E53" s="359"/>
      <c r="F53" s="359"/>
      <c r="G53" s="359"/>
      <c r="H53" s="359"/>
      <c r="I53" s="359"/>
      <c r="J53" s="359"/>
      <c r="K53" s="359"/>
      <c r="L53" s="359"/>
      <c r="M53" s="359"/>
      <c r="N53" s="339"/>
      <c r="O53" s="304"/>
      <c r="P53" s="304"/>
      <c r="Q53" s="304"/>
      <c r="R53" s="304"/>
    </row>
    <row r="54" spans="1:18" x14ac:dyDescent="0.25">
      <c r="A54" s="338" t="s">
        <v>104</v>
      </c>
      <c r="B54" s="359" t="s">
        <v>770</v>
      </c>
      <c r="C54" s="359"/>
      <c r="D54" s="359"/>
      <c r="E54" s="359"/>
      <c r="F54" s="359"/>
      <c r="G54" s="359"/>
      <c r="H54" s="359"/>
      <c r="I54" s="359"/>
      <c r="J54" s="359"/>
      <c r="K54" s="359"/>
      <c r="L54" s="359"/>
      <c r="M54" s="359"/>
      <c r="N54" s="339"/>
      <c r="O54" s="304"/>
      <c r="P54" s="304"/>
      <c r="Q54" s="304"/>
      <c r="R54" s="304"/>
    </row>
    <row r="55" spans="1:18" x14ac:dyDescent="0.25">
      <c r="A55" s="338" t="s">
        <v>104</v>
      </c>
      <c r="B55" s="359" t="s">
        <v>771</v>
      </c>
      <c r="C55" s="359"/>
      <c r="D55" s="359"/>
      <c r="E55" s="359"/>
      <c r="F55" s="359"/>
      <c r="G55" s="359"/>
      <c r="H55" s="359"/>
      <c r="I55" s="359"/>
      <c r="J55" s="359"/>
      <c r="K55" s="359"/>
      <c r="L55" s="359"/>
      <c r="M55" s="359"/>
      <c r="N55" s="339"/>
      <c r="O55" s="304"/>
      <c r="P55" s="304"/>
      <c r="Q55" s="304"/>
      <c r="R55" s="304"/>
    </row>
    <row r="56" spans="1:18" x14ac:dyDescent="0.25">
      <c r="A56" s="338" t="s">
        <v>104</v>
      </c>
      <c r="B56" s="359" t="s">
        <v>772</v>
      </c>
      <c r="C56" s="359"/>
      <c r="D56" s="359"/>
      <c r="E56" s="359"/>
      <c r="F56" s="359"/>
      <c r="G56" s="359"/>
      <c r="H56" s="359"/>
      <c r="I56" s="359"/>
      <c r="J56" s="359"/>
      <c r="K56" s="359"/>
      <c r="L56" s="359"/>
      <c r="M56" s="359"/>
      <c r="N56" s="339"/>
      <c r="O56" s="304"/>
      <c r="P56" s="304"/>
      <c r="Q56" s="304"/>
      <c r="R56" s="304"/>
    </row>
    <row r="57" spans="1:18" x14ac:dyDescent="0.25">
      <c r="A57" s="338" t="s">
        <v>104</v>
      </c>
      <c r="B57" s="359" t="s">
        <v>773</v>
      </c>
      <c r="C57" s="359"/>
      <c r="D57" s="359"/>
      <c r="E57" s="359"/>
      <c r="F57" s="359"/>
      <c r="G57" s="359"/>
      <c r="H57" s="359"/>
      <c r="I57" s="359"/>
      <c r="J57" s="359"/>
      <c r="K57" s="359"/>
      <c r="L57" s="359"/>
      <c r="M57" s="359"/>
      <c r="N57" s="339"/>
      <c r="O57" s="304"/>
      <c r="P57" s="304"/>
      <c r="Q57" s="304"/>
      <c r="R57" s="304"/>
    </row>
    <row r="58" spans="1:18" x14ac:dyDescent="0.25">
      <c r="A58" s="338" t="s">
        <v>104</v>
      </c>
      <c r="B58" s="359" t="s">
        <v>774</v>
      </c>
      <c r="C58" s="359"/>
      <c r="D58" s="359"/>
      <c r="E58" s="359"/>
      <c r="F58" s="359"/>
      <c r="G58" s="359"/>
      <c r="H58" s="359"/>
      <c r="I58" s="359"/>
      <c r="J58" s="359"/>
      <c r="K58" s="359"/>
      <c r="L58" s="359"/>
      <c r="M58" s="359"/>
      <c r="N58" s="339"/>
      <c r="O58" s="304"/>
      <c r="P58" s="304"/>
      <c r="Q58" s="304"/>
      <c r="R58" s="304"/>
    </row>
    <row r="59" spans="1:18" x14ac:dyDescent="0.25">
      <c r="A59" s="338" t="s">
        <v>104</v>
      </c>
      <c r="B59" s="359" t="s">
        <v>775</v>
      </c>
      <c r="C59" s="359"/>
      <c r="D59" s="359"/>
      <c r="E59" s="359"/>
      <c r="F59" s="359"/>
      <c r="G59" s="359"/>
      <c r="H59" s="359"/>
      <c r="I59" s="359"/>
      <c r="J59" s="359"/>
      <c r="K59" s="359"/>
      <c r="L59" s="359"/>
      <c r="M59" s="359"/>
      <c r="N59" s="339"/>
      <c r="O59" s="304"/>
      <c r="P59" s="304"/>
      <c r="Q59" s="304"/>
      <c r="R59" s="304"/>
    </row>
    <row r="60" spans="1:18" x14ac:dyDescent="0.25">
      <c r="A60" s="338" t="s">
        <v>104</v>
      </c>
      <c r="B60" s="359" t="s">
        <v>776</v>
      </c>
      <c r="C60" s="359"/>
      <c r="D60" s="359"/>
      <c r="E60" s="359"/>
      <c r="F60" s="359"/>
      <c r="G60" s="359"/>
      <c r="H60" s="359"/>
      <c r="I60" s="359"/>
      <c r="J60" s="359"/>
      <c r="K60" s="359"/>
      <c r="L60" s="359"/>
      <c r="M60" s="359"/>
      <c r="N60" s="339"/>
      <c r="O60" s="304"/>
      <c r="P60" s="304"/>
      <c r="Q60" s="304"/>
      <c r="R60" s="304"/>
    </row>
    <row r="61" spans="1:18" x14ac:dyDescent="0.25">
      <c r="A61" s="338" t="s">
        <v>104</v>
      </c>
      <c r="B61" s="359" t="s">
        <v>777</v>
      </c>
      <c r="C61" s="359"/>
      <c r="D61" s="359"/>
      <c r="E61" s="359"/>
      <c r="F61" s="359"/>
      <c r="G61" s="359"/>
      <c r="H61" s="359"/>
      <c r="I61" s="359"/>
      <c r="J61" s="359"/>
      <c r="K61" s="359"/>
      <c r="L61" s="359"/>
      <c r="M61" s="359"/>
      <c r="N61" s="339"/>
      <c r="O61" s="304"/>
      <c r="P61" s="304"/>
      <c r="Q61" s="304"/>
      <c r="R61" s="304"/>
    </row>
    <row r="62" spans="1:18" x14ac:dyDescent="0.25">
      <c r="A62" s="338" t="s">
        <v>104</v>
      </c>
      <c r="B62" s="359" t="s">
        <v>778</v>
      </c>
      <c r="C62" s="359"/>
      <c r="D62" s="359"/>
      <c r="E62" s="359"/>
      <c r="F62" s="359"/>
      <c r="G62" s="359"/>
      <c r="H62" s="359"/>
      <c r="I62" s="359"/>
      <c r="J62" s="359"/>
      <c r="K62" s="359"/>
      <c r="L62" s="359"/>
      <c r="M62" s="359"/>
      <c r="N62" s="339"/>
      <c r="O62" s="304"/>
      <c r="P62" s="304"/>
      <c r="Q62" s="304"/>
      <c r="R62" s="304"/>
    </row>
    <row r="63" spans="1:18" x14ac:dyDescent="0.25">
      <c r="A63" s="338" t="s">
        <v>104</v>
      </c>
      <c r="B63" s="359" t="s">
        <v>779</v>
      </c>
      <c r="C63" s="359"/>
      <c r="D63" s="359"/>
      <c r="E63" s="359"/>
      <c r="F63" s="359"/>
      <c r="G63" s="359"/>
      <c r="H63" s="359"/>
      <c r="I63" s="359"/>
      <c r="J63" s="359"/>
      <c r="K63" s="359"/>
      <c r="L63" s="359"/>
      <c r="M63" s="359"/>
      <c r="N63" s="339"/>
      <c r="O63" s="304"/>
      <c r="P63" s="304"/>
      <c r="Q63" s="304"/>
      <c r="R63" s="304"/>
    </row>
    <row r="64" spans="1:18" x14ac:dyDescent="0.25">
      <c r="A64" s="338" t="s">
        <v>104</v>
      </c>
      <c r="B64" s="359" t="s">
        <v>780</v>
      </c>
      <c r="C64" s="359"/>
      <c r="D64" s="359"/>
      <c r="E64" s="359"/>
      <c r="F64" s="359"/>
      <c r="G64" s="359"/>
      <c r="H64" s="359"/>
      <c r="I64" s="359"/>
      <c r="J64" s="359"/>
      <c r="K64" s="359"/>
      <c r="L64" s="359"/>
      <c r="M64" s="359"/>
      <c r="N64" s="339"/>
      <c r="O64" s="304"/>
      <c r="P64" s="304"/>
      <c r="Q64" s="304"/>
      <c r="R64" s="304"/>
    </row>
    <row r="65" spans="1:18" x14ac:dyDescent="0.25">
      <c r="A65" s="338" t="s">
        <v>104</v>
      </c>
      <c r="B65" s="359" t="s">
        <v>781</v>
      </c>
      <c r="C65" s="359"/>
      <c r="D65" s="359"/>
      <c r="E65" s="359"/>
      <c r="F65" s="359"/>
      <c r="G65" s="359"/>
      <c r="H65" s="359"/>
      <c r="I65" s="359"/>
      <c r="J65" s="359"/>
      <c r="K65" s="359"/>
      <c r="L65" s="359"/>
      <c r="M65" s="359"/>
      <c r="N65" s="339"/>
      <c r="O65" s="304"/>
      <c r="P65" s="304"/>
      <c r="Q65" s="304"/>
      <c r="R65" s="304"/>
    </row>
    <row r="66" spans="1:18" x14ac:dyDescent="0.25">
      <c r="A66" s="338" t="s">
        <v>104</v>
      </c>
      <c r="B66" s="359" t="s">
        <v>782</v>
      </c>
      <c r="C66" s="359"/>
      <c r="D66" s="359"/>
      <c r="E66" s="359"/>
      <c r="F66" s="359"/>
      <c r="G66" s="359"/>
      <c r="H66" s="359"/>
      <c r="I66" s="359"/>
      <c r="J66" s="359"/>
      <c r="K66" s="359"/>
      <c r="L66" s="359"/>
      <c r="M66" s="359"/>
      <c r="N66" s="339"/>
      <c r="O66" s="304"/>
      <c r="P66" s="304"/>
      <c r="Q66" s="304"/>
      <c r="R66" s="304"/>
    </row>
    <row r="67" spans="1:18" x14ac:dyDescent="0.25">
      <c r="A67" s="338" t="s">
        <v>104</v>
      </c>
      <c r="B67" s="359" t="s">
        <v>783</v>
      </c>
      <c r="C67" s="359"/>
      <c r="D67" s="359"/>
      <c r="E67" s="359"/>
      <c r="F67" s="359"/>
      <c r="G67" s="359"/>
      <c r="H67" s="359"/>
      <c r="I67" s="359"/>
      <c r="J67" s="359"/>
      <c r="K67" s="359"/>
      <c r="L67" s="359"/>
      <c r="M67" s="359"/>
      <c r="N67" s="339"/>
      <c r="O67" s="304"/>
      <c r="P67" s="304"/>
      <c r="Q67" s="304"/>
      <c r="R67" s="304"/>
    </row>
    <row r="68" spans="1:18" x14ac:dyDescent="0.25">
      <c r="A68" s="338" t="s">
        <v>104</v>
      </c>
      <c r="B68" s="359" t="s">
        <v>784</v>
      </c>
      <c r="C68" s="359"/>
      <c r="D68" s="359"/>
      <c r="E68" s="359"/>
      <c r="F68" s="359"/>
      <c r="G68" s="359"/>
      <c r="H68" s="359"/>
      <c r="I68" s="359"/>
      <c r="J68" s="359"/>
      <c r="K68" s="359"/>
      <c r="L68" s="359"/>
      <c r="M68" s="359"/>
      <c r="N68" s="339"/>
      <c r="O68" s="304"/>
      <c r="P68" s="304"/>
      <c r="Q68" s="304"/>
      <c r="R68" s="304"/>
    </row>
    <row r="69" spans="1:18" x14ac:dyDescent="0.25">
      <c r="A69" s="338" t="s">
        <v>104</v>
      </c>
      <c r="B69" s="359" t="s">
        <v>785</v>
      </c>
      <c r="C69" s="359"/>
      <c r="D69" s="359"/>
      <c r="E69" s="359"/>
      <c r="F69" s="359"/>
      <c r="G69" s="359"/>
      <c r="H69" s="359"/>
      <c r="I69" s="359"/>
      <c r="J69" s="359"/>
      <c r="K69" s="359"/>
      <c r="L69" s="359"/>
      <c r="M69" s="359"/>
      <c r="N69" s="339"/>
      <c r="O69" s="304"/>
      <c r="P69" s="304"/>
      <c r="Q69" s="304"/>
      <c r="R69" s="304"/>
    </row>
    <row r="70" spans="1:18" x14ac:dyDescent="0.25">
      <c r="A70" s="338" t="s">
        <v>104</v>
      </c>
      <c r="B70" s="359" t="s">
        <v>786</v>
      </c>
      <c r="C70" s="359"/>
      <c r="D70" s="359"/>
      <c r="E70" s="359"/>
      <c r="F70" s="359"/>
      <c r="G70" s="359"/>
      <c r="H70" s="359"/>
      <c r="I70" s="359"/>
      <c r="J70" s="359"/>
      <c r="K70" s="359"/>
      <c r="L70" s="359"/>
      <c r="M70" s="359"/>
      <c r="N70" s="339"/>
      <c r="O70" s="304"/>
      <c r="P70" s="304"/>
      <c r="Q70" s="304"/>
      <c r="R70" s="304"/>
    </row>
    <row r="71" spans="1:18" x14ac:dyDescent="0.25">
      <c r="A71" s="338" t="s">
        <v>104</v>
      </c>
      <c r="B71" s="359" t="s">
        <v>787</v>
      </c>
      <c r="C71" s="359"/>
      <c r="D71" s="359"/>
      <c r="E71" s="359"/>
      <c r="F71" s="359"/>
      <c r="G71" s="359"/>
      <c r="H71" s="359"/>
      <c r="I71" s="359"/>
      <c r="J71" s="359"/>
      <c r="K71" s="359"/>
      <c r="L71" s="359"/>
      <c r="M71" s="359"/>
      <c r="N71" s="339"/>
      <c r="O71" s="304"/>
      <c r="P71" s="304"/>
      <c r="Q71" s="304"/>
      <c r="R71" s="304"/>
    </row>
    <row r="72" spans="1:18" x14ac:dyDescent="0.25">
      <c r="A72" s="338" t="s">
        <v>104</v>
      </c>
      <c r="B72" s="359" t="s">
        <v>788</v>
      </c>
      <c r="C72" s="359"/>
      <c r="D72" s="359"/>
      <c r="E72" s="359"/>
      <c r="F72" s="359"/>
      <c r="G72" s="359"/>
      <c r="H72" s="359"/>
      <c r="I72" s="359"/>
      <c r="J72" s="359"/>
      <c r="K72" s="359"/>
      <c r="L72" s="359"/>
      <c r="M72" s="359"/>
      <c r="N72" s="339"/>
      <c r="O72" s="304"/>
      <c r="P72" s="304"/>
      <c r="Q72" s="304"/>
      <c r="R72" s="304"/>
    </row>
    <row r="73" spans="1:18" x14ac:dyDescent="0.25">
      <c r="A73" s="338" t="s">
        <v>104</v>
      </c>
      <c r="B73" s="359" t="s">
        <v>789</v>
      </c>
      <c r="C73" s="359"/>
      <c r="D73" s="359"/>
      <c r="E73" s="359"/>
      <c r="F73" s="359"/>
      <c r="G73" s="359"/>
      <c r="H73" s="359"/>
      <c r="I73" s="359"/>
      <c r="J73" s="359"/>
      <c r="K73" s="359"/>
      <c r="L73" s="359"/>
      <c r="M73" s="359"/>
      <c r="N73" s="339"/>
      <c r="O73" s="304"/>
      <c r="P73" s="304"/>
      <c r="Q73" s="304"/>
      <c r="R73" s="304"/>
    </row>
    <row r="74" spans="1:18" x14ac:dyDescent="0.25">
      <c r="A74" s="338" t="s">
        <v>104</v>
      </c>
      <c r="B74" s="359" t="s">
        <v>790</v>
      </c>
      <c r="C74" s="359"/>
      <c r="D74" s="359"/>
      <c r="E74" s="359"/>
      <c r="F74" s="359"/>
      <c r="G74" s="359"/>
      <c r="H74" s="359"/>
      <c r="I74" s="359"/>
      <c r="J74" s="359"/>
      <c r="K74" s="359"/>
      <c r="L74" s="359"/>
      <c r="M74" s="359"/>
      <c r="N74" s="339"/>
      <c r="O74" s="304"/>
      <c r="P74" s="304"/>
      <c r="Q74" s="304"/>
      <c r="R74" s="304"/>
    </row>
    <row r="75" spans="1:18" x14ac:dyDescent="0.25">
      <c r="A75" s="338" t="s">
        <v>104</v>
      </c>
      <c r="B75" s="359" t="s">
        <v>791</v>
      </c>
      <c r="C75" s="359"/>
      <c r="D75" s="359"/>
      <c r="E75" s="359"/>
      <c r="F75" s="359"/>
      <c r="G75" s="359"/>
      <c r="H75" s="359"/>
      <c r="I75" s="359"/>
      <c r="J75" s="359"/>
      <c r="K75" s="359"/>
      <c r="L75" s="359"/>
      <c r="M75" s="359"/>
      <c r="N75" s="339"/>
      <c r="O75" s="304"/>
      <c r="P75" s="304"/>
      <c r="Q75" s="304"/>
      <c r="R75" s="304"/>
    </row>
    <row r="76" spans="1:18" x14ac:dyDescent="0.25">
      <c r="A76" s="338" t="s">
        <v>104</v>
      </c>
      <c r="B76" s="359" t="s">
        <v>792</v>
      </c>
      <c r="C76" s="359"/>
      <c r="D76" s="359"/>
      <c r="E76" s="359"/>
      <c r="F76" s="359"/>
      <c r="G76" s="359"/>
      <c r="H76" s="359"/>
      <c r="I76" s="359"/>
      <c r="J76" s="359"/>
      <c r="K76" s="359"/>
      <c r="L76" s="359"/>
      <c r="M76" s="359"/>
      <c r="N76" s="339"/>
      <c r="O76" s="304"/>
      <c r="P76" s="304"/>
      <c r="Q76" s="304"/>
      <c r="R76" s="304"/>
    </row>
    <row r="77" spans="1:18" x14ac:dyDescent="0.25">
      <c r="A77" s="338" t="s">
        <v>104</v>
      </c>
      <c r="B77" s="357" t="s">
        <v>104</v>
      </c>
      <c r="C77" s="357"/>
      <c r="D77" s="357"/>
      <c r="E77" s="357"/>
      <c r="F77" s="357"/>
      <c r="G77" s="357"/>
      <c r="H77" s="357"/>
      <c r="I77" s="357"/>
      <c r="J77" s="357"/>
      <c r="K77" s="357"/>
      <c r="L77" s="357"/>
      <c r="M77" s="357"/>
      <c r="N77" s="339"/>
      <c r="O77" s="304"/>
      <c r="P77" s="304"/>
      <c r="Q77" s="304"/>
      <c r="R77" s="304"/>
    </row>
    <row r="78" spans="1:18" x14ac:dyDescent="0.25">
      <c r="A78" s="338" t="s">
        <v>104</v>
      </c>
      <c r="B78" s="357" t="s">
        <v>104</v>
      </c>
      <c r="C78" s="357"/>
      <c r="D78" s="357"/>
      <c r="E78" s="357"/>
      <c r="F78" s="357"/>
      <c r="G78" s="357"/>
      <c r="H78" s="357"/>
      <c r="I78" s="357"/>
      <c r="J78" s="357"/>
      <c r="K78" s="357"/>
      <c r="L78" s="357"/>
      <c r="M78" s="357"/>
      <c r="N78" s="339"/>
      <c r="O78" s="304"/>
      <c r="P78" s="304"/>
      <c r="Q78" s="304"/>
      <c r="R78" s="304"/>
    </row>
    <row r="79" spans="1:18" x14ac:dyDescent="0.25">
      <c r="A79" s="358" t="s">
        <v>95</v>
      </c>
      <c r="B79" s="358" t="s">
        <v>104</v>
      </c>
      <c r="C79" s="358"/>
      <c r="D79" s="358"/>
      <c r="E79" s="358"/>
      <c r="F79" s="358"/>
      <c r="G79" s="358"/>
      <c r="H79" s="358"/>
      <c r="I79" s="358"/>
      <c r="J79" s="358"/>
      <c r="K79" s="358"/>
      <c r="L79" s="358"/>
      <c r="M79" s="358"/>
      <c r="N79" s="339"/>
      <c r="O79" s="304"/>
      <c r="P79" s="304"/>
      <c r="Q79" s="304"/>
      <c r="R79" s="304"/>
    </row>
    <row r="80" spans="1:18" x14ac:dyDescent="0.25">
      <c r="A80" s="338" t="s">
        <v>793</v>
      </c>
      <c r="B80" s="357" t="s">
        <v>794</v>
      </c>
      <c r="C80" s="357"/>
      <c r="D80" s="357"/>
      <c r="E80" s="357"/>
      <c r="F80" s="357"/>
      <c r="G80" s="357"/>
      <c r="H80" s="357"/>
      <c r="I80" s="357"/>
      <c r="J80" s="357"/>
      <c r="K80" s="357"/>
      <c r="L80" s="357"/>
      <c r="M80" s="357"/>
      <c r="N80" s="339"/>
      <c r="O80" s="304"/>
      <c r="P80" s="304"/>
      <c r="Q80" s="304"/>
      <c r="R80" s="304"/>
    </row>
    <row r="81" spans="1:18" x14ac:dyDescent="0.25">
      <c r="A81" s="338" t="s">
        <v>795</v>
      </c>
      <c r="B81" s="357" t="s">
        <v>796</v>
      </c>
      <c r="C81" s="357"/>
      <c r="D81" s="357"/>
      <c r="E81" s="357"/>
      <c r="F81" s="357"/>
      <c r="G81" s="357"/>
      <c r="H81" s="357"/>
      <c r="I81" s="357"/>
      <c r="J81" s="357"/>
      <c r="K81" s="357"/>
      <c r="L81" s="357"/>
      <c r="M81" s="357"/>
      <c r="N81" s="339"/>
      <c r="O81" s="304"/>
      <c r="P81" s="304"/>
      <c r="Q81" s="304"/>
      <c r="R81" s="304"/>
    </row>
    <row r="82" spans="1:18" x14ac:dyDescent="0.25">
      <c r="A82" s="338" t="s">
        <v>797</v>
      </c>
      <c r="B82" s="357" t="s">
        <v>798</v>
      </c>
      <c r="C82" s="357"/>
      <c r="D82" s="357"/>
      <c r="E82" s="357"/>
      <c r="F82" s="357"/>
      <c r="G82" s="357"/>
      <c r="H82" s="357"/>
      <c r="I82" s="357"/>
      <c r="J82" s="357"/>
      <c r="K82" s="357"/>
      <c r="L82" s="357"/>
      <c r="M82" s="357"/>
      <c r="N82" s="339"/>
      <c r="O82" s="304"/>
      <c r="P82" s="304"/>
      <c r="Q82" s="304"/>
      <c r="R82" s="304"/>
    </row>
    <row r="83" spans="1:18" x14ac:dyDescent="0.25">
      <c r="A83" s="338" t="s">
        <v>799</v>
      </c>
      <c r="B83" s="357" t="s">
        <v>800</v>
      </c>
      <c r="C83" s="357"/>
      <c r="D83" s="357"/>
      <c r="E83" s="357"/>
      <c r="F83" s="357"/>
      <c r="G83" s="357"/>
      <c r="H83" s="357"/>
      <c r="I83" s="357"/>
      <c r="J83" s="357"/>
      <c r="K83" s="357"/>
      <c r="L83" s="357"/>
      <c r="M83" s="357"/>
      <c r="N83" s="339"/>
      <c r="O83" s="304"/>
      <c r="P83" s="304"/>
      <c r="Q83" s="304"/>
      <c r="R83" s="304"/>
    </row>
    <row r="84" spans="1:18" x14ac:dyDescent="0.25">
      <c r="A84" s="338" t="s">
        <v>801</v>
      </c>
      <c r="B84" s="357" t="s">
        <v>802</v>
      </c>
      <c r="C84" s="357"/>
      <c r="D84" s="357"/>
      <c r="E84" s="357"/>
      <c r="F84" s="357"/>
      <c r="G84" s="357"/>
      <c r="H84" s="357"/>
      <c r="I84" s="357"/>
      <c r="J84" s="357"/>
      <c r="K84" s="357"/>
      <c r="L84" s="357"/>
      <c r="M84" s="357"/>
      <c r="N84" s="339"/>
      <c r="O84" s="304"/>
      <c r="P84" s="304"/>
      <c r="Q84" s="304"/>
      <c r="R84" s="304"/>
    </row>
    <row r="85" spans="1:18" x14ac:dyDescent="0.25">
      <c r="A85" s="338" t="s">
        <v>803</v>
      </c>
      <c r="B85" s="357" t="s">
        <v>804</v>
      </c>
      <c r="C85" s="357"/>
      <c r="D85" s="357"/>
      <c r="E85" s="357"/>
      <c r="F85" s="357"/>
      <c r="G85" s="357"/>
      <c r="H85" s="357"/>
      <c r="I85" s="357"/>
      <c r="J85" s="357"/>
      <c r="K85" s="357"/>
      <c r="L85" s="357"/>
      <c r="M85" s="357"/>
      <c r="N85" s="339"/>
      <c r="O85" s="304"/>
      <c r="P85" s="304"/>
      <c r="Q85" s="304"/>
      <c r="R85" s="304"/>
    </row>
    <row r="86" spans="1:18" x14ac:dyDescent="0.25">
      <c r="A86" s="338" t="s">
        <v>805</v>
      </c>
      <c r="B86" s="357" t="s">
        <v>806</v>
      </c>
      <c r="C86" s="357"/>
      <c r="D86" s="357"/>
      <c r="E86" s="357"/>
      <c r="F86" s="357"/>
      <c r="G86" s="357"/>
      <c r="H86" s="357"/>
      <c r="I86" s="357"/>
      <c r="J86" s="357"/>
      <c r="K86" s="357"/>
      <c r="L86" s="357"/>
      <c r="M86" s="357"/>
      <c r="N86" s="339"/>
      <c r="O86" s="304"/>
      <c r="P86" s="304"/>
      <c r="Q86" s="304"/>
      <c r="R86" s="304"/>
    </row>
    <row r="87" spans="1:18" x14ac:dyDescent="0.25">
      <c r="A87" s="338" t="s">
        <v>741</v>
      </c>
      <c r="B87" s="357" t="s">
        <v>807</v>
      </c>
      <c r="C87" s="357"/>
      <c r="D87" s="357"/>
      <c r="E87" s="357"/>
      <c r="F87" s="357"/>
      <c r="G87" s="357"/>
      <c r="H87" s="357"/>
      <c r="I87" s="357"/>
      <c r="J87" s="357"/>
      <c r="K87" s="357"/>
      <c r="L87" s="357"/>
      <c r="M87" s="357"/>
      <c r="N87" s="339"/>
      <c r="O87" s="304"/>
      <c r="P87" s="304"/>
      <c r="Q87" s="304"/>
      <c r="R87" s="304"/>
    </row>
    <row r="88" spans="1:18" x14ac:dyDescent="0.25">
      <c r="A88" s="338" t="s">
        <v>808</v>
      </c>
      <c r="B88" s="357" t="s">
        <v>809</v>
      </c>
      <c r="C88" s="357"/>
      <c r="D88" s="357"/>
      <c r="E88" s="357"/>
      <c r="F88" s="357"/>
      <c r="G88" s="357"/>
      <c r="H88" s="357"/>
      <c r="I88" s="357"/>
      <c r="J88" s="357"/>
      <c r="K88" s="357"/>
      <c r="L88" s="357"/>
      <c r="M88" s="357"/>
      <c r="N88" s="339"/>
      <c r="O88" s="304"/>
      <c r="P88" s="304"/>
      <c r="Q88" s="304"/>
      <c r="R88" s="304"/>
    </row>
    <row r="89" spans="1:18" x14ac:dyDescent="0.25">
      <c r="A89" s="304" t="s">
        <v>810</v>
      </c>
      <c r="B89" s="357" t="s">
        <v>811</v>
      </c>
      <c r="C89" s="357"/>
      <c r="D89" s="357"/>
      <c r="E89" s="357"/>
      <c r="F89" s="357"/>
      <c r="G89" s="357"/>
      <c r="H89" s="357"/>
      <c r="I89" s="357"/>
      <c r="J89" s="357"/>
      <c r="K89" s="357"/>
      <c r="L89" s="357"/>
      <c r="M89" s="357"/>
      <c r="N89" s="304"/>
      <c r="O89" s="304"/>
      <c r="P89" s="304"/>
      <c r="Q89" s="304"/>
      <c r="R89" s="304"/>
    </row>
    <row r="90" spans="1:18" x14ac:dyDescent="0.25">
      <c r="A90" s="304" t="s">
        <v>812</v>
      </c>
      <c r="B90" s="357" t="s">
        <v>813</v>
      </c>
      <c r="C90" s="357"/>
      <c r="D90" s="357"/>
      <c r="E90" s="357"/>
      <c r="F90" s="357"/>
      <c r="G90" s="357"/>
      <c r="H90" s="357"/>
      <c r="I90" s="357"/>
      <c r="J90" s="357"/>
      <c r="K90" s="357"/>
      <c r="L90" s="357"/>
      <c r="M90" s="357"/>
      <c r="N90" s="304"/>
      <c r="O90" s="304"/>
      <c r="P90" s="304"/>
      <c r="Q90" s="304"/>
      <c r="R90" s="304"/>
    </row>
    <row r="91" spans="1:18" x14ac:dyDescent="0.25">
      <c r="A91" s="304" t="s">
        <v>814</v>
      </c>
      <c r="B91" s="357" t="s">
        <v>815</v>
      </c>
      <c r="C91" s="357"/>
      <c r="D91" s="357"/>
      <c r="E91" s="357"/>
      <c r="F91" s="357"/>
      <c r="G91" s="357"/>
      <c r="H91" s="357"/>
      <c r="I91" s="357"/>
      <c r="J91" s="357"/>
      <c r="K91" s="357"/>
      <c r="L91" s="357"/>
      <c r="M91" s="357"/>
      <c r="N91" s="304"/>
      <c r="O91" s="304"/>
      <c r="P91" s="304"/>
      <c r="Q91" s="304"/>
      <c r="R91" s="304"/>
    </row>
    <row r="92" spans="1:18" x14ac:dyDescent="0.25">
      <c r="A92" s="304"/>
      <c r="B92" s="357"/>
      <c r="C92" s="357"/>
      <c r="D92" s="357"/>
      <c r="E92" s="357"/>
      <c r="F92" s="357"/>
      <c r="G92" s="357"/>
      <c r="H92" s="357"/>
      <c r="I92" s="357"/>
      <c r="J92" s="357"/>
      <c r="K92" s="357"/>
      <c r="L92" s="357"/>
      <c r="M92" s="357"/>
      <c r="N92" s="304"/>
      <c r="O92" s="304"/>
      <c r="P92" s="304"/>
      <c r="Q92" s="304"/>
      <c r="R92" s="304"/>
    </row>
    <row r="93" spans="1:18" x14ac:dyDescent="0.25">
      <c r="A93" s="304"/>
      <c r="B93" s="357"/>
      <c r="C93" s="357"/>
      <c r="D93" s="357"/>
      <c r="E93" s="357"/>
      <c r="F93" s="357"/>
      <c r="G93" s="357"/>
      <c r="H93" s="357"/>
      <c r="I93" s="357"/>
      <c r="J93" s="357"/>
      <c r="K93" s="357"/>
      <c r="L93" s="357"/>
      <c r="M93" s="357"/>
      <c r="N93" s="304"/>
      <c r="O93" s="304"/>
      <c r="P93" s="304"/>
      <c r="Q93" s="304"/>
      <c r="R93" s="304"/>
    </row>
    <row r="94" spans="1:18" x14ac:dyDescent="0.25">
      <c r="A94" s="304"/>
      <c r="B94" s="357"/>
      <c r="C94" s="357"/>
      <c r="D94" s="357"/>
      <c r="E94" s="357"/>
      <c r="F94" s="357"/>
      <c r="G94" s="357"/>
      <c r="H94" s="357"/>
      <c r="I94" s="357"/>
      <c r="J94" s="357"/>
      <c r="K94" s="357"/>
      <c r="L94" s="357"/>
      <c r="M94" s="357"/>
      <c r="N94" s="304"/>
      <c r="O94" s="304"/>
      <c r="P94" s="304"/>
      <c r="Q94" s="304"/>
      <c r="R94" s="304"/>
    </row>
    <row r="95" spans="1:18" x14ac:dyDescent="0.25">
      <c r="A95" s="304"/>
      <c r="B95" s="357"/>
      <c r="C95" s="357"/>
      <c r="D95" s="357"/>
      <c r="E95" s="357"/>
      <c r="F95" s="357"/>
      <c r="G95" s="357"/>
      <c r="H95" s="357"/>
      <c r="I95" s="357"/>
      <c r="J95" s="357"/>
      <c r="K95" s="357"/>
      <c r="L95" s="357"/>
      <c r="M95" s="357"/>
      <c r="N95" s="304"/>
      <c r="O95" s="304"/>
      <c r="P95" s="304"/>
      <c r="Q95" s="304"/>
      <c r="R95" s="304"/>
    </row>
  </sheetData>
  <mergeCells count="47">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4:M84"/>
    <mergeCell ref="B85:M85"/>
    <mergeCell ref="B86:M86"/>
    <mergeCell ref="B87:M87"/>
    <mergeCell ref="B88:M88"/>
    <mergeCell ref="B94:M94"/>
    <mergeCell ref="B95:M95"/>
    <mergeCell ref="B89:M89"/>
    <mergeCell ref="B90:M90"/>
    <mergeCell ref="B91:M91"/>
    <mergeCell ref="B92:M92"/>
    <mergeCell ref="B93:M9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03"/>
      <c r="E1" s="360"/>
      <c r="F1" s="361"/>
      <c r="G1" s="361"/>
      <c r="H1" s="361"/>
      <c r="I1" s="361"/>
      <c r="J1" s="361"/>
      <c r="K1" s="361"/>
      <c r="L1" s="361"/>
      <c r="M1" s="303"/>
      <c r="N1" s="303"/>
      <c r="O1" s="303"/>
      <c r="P1" s="304"/>
      <c r="Q1" s="304"/>
      <c r="R1" s="305"/>
      <c r="S1" s="304"/>
    </row>
    <row r="2" spans="3:19" x14ac:dyDescent="0.25">
      <c r="C2" s="81" t="s">
        <v>206</v>
      </c>
      <c r="D2" s="81"/>
      <c r="E2" s="306">
        <v>2025</v>
      </c>
      <c r="F2" s="306">
        <v>2030</v>
      </c>
      <c r="G2" s="306">
        <v>2040</v>
      </c>
      <c r="H2" s="306">
        <v>2050</v>
      </c>
      <c r="I2" s="306">
        <v>2020</v>
      </c>
      <c r="J2" s="306">
        <v>2020</v>
      </c>
      <c r="K2" s="306">
        <v>2050</v>
      </c>
      <c r="L2" s="306">
        <v>2050</v>
      </c>
      <c r="M2" s="340" t="s">
        <v>72</v>
      </c>
      <c r="N2" s="340" t="s">
        <v>699</v>
      </c>
      <c r="O2" s="340" t="s">
        <v>73</v>
      </c>
      <c r="P2" s="304"/>
      <c r="Q2" s="304"/>
      <c r="R2" s="308"/>
      <c r="S2" s="309"/>
    </row>
    <row r="3" spans="3:19" ht="13.2" customHeight="1" thickBot="1" x14ac:dyDescent="0.3">
      <c r="C3" s="85" t="s">
        <v>207</v>
      </c>
      <c r="D3" s="310"/>
      <c r="E3" s="86" t="s">
        <v>208</v>
      </c>
      <c r="F3" s="86" t="s">
        <v>208</v>
      </c>
      <c r="G3" s="86" t="s">
        <v>208</v>
      </c>
      <c r="H3" s="86" t="s">
        <v>208</v>
      </c>
      <c r="I3" s="311" t="s">
        <v>75</v>
      </c>
      <c r="J3" s="311" t="s">
        <v>76</v>
      </c>
      <c r="K3" s="311" t="s">
        <v>75</v>
      </c>
      <c r="L3" s="311" t="s">
        <v>76</v>
      </c>
      <c r="M3" s="311"/>
      <c r="N3" s="311"/>
      <c r="O3" s="312"/>
      <c r="P3" s="304"/>
      <c r="Q3" s="304"/>
      <c r="R3" s="165"/>
      <c r="S3" s="165"/>
    </row>
    <row r="4" spans="3:19" ht="13.2" customHeight="1" x14ac:dyDescent="0.25">
      <c r="C4" s="313" t="s">
        <v>211</v>
      </c>
      <c r="D4" s="313" t="s">
        <v>212</v>
      </c>
      <c r="E4" s="314"/>
      <c r="F4" s="315"/>
      <c r="G4" s="315"/>
      <c r="H4" s="315"/>
      <c r="I4" s="315"/>
      <c r="J4" s="315"/>
      <c r="K4" s="315"/>
      <c r="L4" s="315"/>
      <c r="M4" s="316" t="s">
        <v>104</v>
      </c>
      <c r="N4" s="316" t="s">
        <v>104</v>
      </c>
      <c r="O4" s="316" t="s">
        <v>104</v>
      </c>
      <c r="P4" s="304"/>
      <c r="Q4" s="341"/>
      <c r="R4" s="304"/>
      <c r="S4" s="165"/>
    </row>
    <row r="5" spans="3:19" x14ac:dyDescent="0.25">
      <c r="C5" s="318" t="s">
        <v>74</v>
      </c>
      <c r="D5" s="318"/>
      <c r="E5" s="315"/>
      <c r="F5" s="315"/>
      <c r="G5" s="315"/>
      <c r="H5" s="315"/>
      <c r="I5" s="315"/>
      <c r="J5" s="315"/>
      <c r="K5" s="315"/>
      <c r="L5" s="315"/>
      <c r="M5" s="316" t="s">
        <v>104</v>
      </c>
      <c r="N5" s="316" t="s">
        <v>104</v>
      </c>
      <c r="O5" s="316" t="s">
        <v>104</v>
      </c>
      <c r="P5" s="304"/>
      <c r="Q5" s="341"/>
      <c r="R5" s="304"/>
      <c r="S5" s="304"/>
    </row>
    <row r="6" spans="3:19" x14ac:dyDescent="0.25">
      <c r="C6" s="318"/>
      <c r="D6" s="319" t="s">
        <v>700</v>
      </c>
      <c r="E6" s="320">
        <v>1000</v>
      </c>
      <c r="F6" s="320">
        <v>1000</v>
      </c>
      <c r="G6" s="320">
        <v>1000</v>
      </c>
      <c r="H6" s="320">
        <v>1000</v>
      </c>
      <c r="I6" s="320">
        <v>1000</v>
      </c>
      <c r="J6" s="320">
        <v>1000</v>
      </c>
      <c r="K6" s="320">
        <v>1000</v>
      </c>
      <c r="L6" s="320">
        <v>1000</v>
      </c>
      <c r="M6" s="321" t="s">
        <v>104</v>
      </c>
      <c r="N6" s="321" t="s">
        <v>104</v>
      </c>
      <c r="O6" s="321" t="s">
        <v>104</v>
      </c>
      <c r="P6" s="304"/>
      <c r="Q6" s="304" t="s">
        <v>764</v>
      </c>
      <c r="R6" s="304"/>
      <c r="S6" s="304"/>
    </row>
    <row r="7" spans="3:19" x14ac:dyDescent="0.25">
      <c r="C7" s="318"/>
      <c r="D7" s="319" t="s">
        <v>701</v>
      </c>
      <c r="E7" s="322">
        <f t="shared" ref="E7:L7" si="0">(1/E10)*E6*1000*24</f>
        <v>445661.7612924194</v>
      </c>
      <c r="F7" s="322">
        <f t="shared" si="0"/>
        <v>473975.92296605092</v>
      </c>
      <c r="G7" s="322">
        <f t="shared" si="0"/>
        <v>499085.01081350888</v>
      </c>
      <c r="H7" s="322">
        <f t="shared" si="0"/>
        <v>537911.30185979977</v>
      </c>
      <c r="I7" s="322">
        <f t="shared" si="0"/>
        <v>439896.94550716679</v>
      </c>
      <c r="J7" s="322">
        <f t="shared" si="0"/>
        <v>413074.259116626</v>
      </c>
      <c r="K7" s="322">
        <f t="shared" si="0"/>
        <v>571428.57142857136</v>
      </c>
      <c r="L7" s="322">
        <f t="shared" si="0"/>
        <v>508108.10810810822</v>
      </c>
      <c r="M7" s="321" t="s">
        <v>702</v>
      </c>
      <c r="N7" s="321" t="s">
        <v>104</v>
      </c>
      <c r="O7" s="321" t="s">
        <v>104</v>
      </c>
      <c r="P7" s="304"/>
      <c r="Q7" s="304"/>
      <c r="R7" s="304"/>
      <c r="S7" s="304"/>
    </row>
    <row r="8" spans="3:19" x14ac:dyDescent="0.25">
      <c r="C8" s="318"/>
      <c r="D8" s="323" t="s">
        <v>106</v>
      </c>
      <c r="E8" s="322"/>
      <c r="F8" s="322"/>
      <c r="G8" s="322"/>
      <c r="H8" s="322"/>
      <c r="I8" s="322"/>
      <c r="J8" s="322"/>
      <c r="K8" s="322"/>
      <c r="L8" s="322"/>
      <c r="M8" s="321" t="s">
        <v>104</v>
      </c>
      <c r="N8" s="321" t="s">
        <v>104</v>
      </c>
      <c r="O8" s="321" t="s">
        <v>104</v>
      </c>
      <c r="P8" s="304"/>
      <c r="Q8" s="304" t="s">
        <v>764</v>
      </c>
      <c r="R8" s="304"/>
      <c r="S8" s="304"/>
    </row>
    <row r="9" spans="3:19" x14ac:dyDescent="0.25">
      <c r="C9" s="318"/>
      <c r="D9" s="319" t="s">
        <v>703</v>
      </c>
      <c r="E9" s="320">
        <v>100</v>
      </c>
      <c r="F9" s="320">
        <v>100</v>
      </c>
      <c r="G9" s="320">
        <v>100</v>
      </c>
      <c r="H9" s="320">
        <v>100</v>
      </c>
      <c r="I9" s="320">
        <v>100</v>
      </c>
      <c r="J9" s="320">
        <v>100</v>
      </c>
      <c r="K9" s="320">
        <v>100</v>
      </c>
      <c r="L9" s="320">
        <v>100</v>
      </c>
      <c r="M9" s="321" t="s">
        <v>104</v>
      </c>
      <c r="N9" s="321" t="s">
        <v>104</v>
      </c>
      <c r="O9" s="321" t="s">
        <v>104</v>
      </c>
      <c r="P9" s="304"/>
      <c r="Q9" s="304" t="s">
        <v>764</v>
      </c>
      <c r="R9" s="304"/>
      <c r="S9" s="304"/>
    </row>
    <row r="10" spans="3:19" x14ac:dyDescent="0.25">
      <c r="C10" s="318"/>
      <c r="D10" s="319" t="s">
        <v>704</v>
      </c>
      <c r="E10" s="324">
        <v>53.852499999999964</v>
      </c>
      <c r="F10" s="324">
        <v>50.635483443573627</v>
      </c>
      <c r="G10" s="324">
        <v>48.087999999999965</v>
      </c>
      <c r="H10" s="324">
        <v>44.617021276595743</v>
      </c>
      <c r="I10" s="324">
        <v>54.558232888682319</v>
      </c>
      <c r="J10" s="324">
        <v>58.100933355965701</v>
      </c>
      <c r="K10" s="324">
        <v>42</v>
      </c>
      <c r="L10" s="324">
        <v>47.234042553191486</v>
      </c>
      <c r="M10" s="321" t="s">
        <v>705</v>
      </c>
      <c r="N10" s="321" t="s">
        <v>706</v>
      </c>
      <c r="O10" s="321" t="s">
        <v>707</v>
      </c>
      <c r="P10" s="304"/>
      <c r="Q10" s="304" t="s">
        <v>764</v>
      </c>
      <c r="R10" s="304"/>
      <c r="S10" s="304"/>
    </row>
    <row r="11" spans="3:19" x14ac:dyDescent="0.25">
      <c r="C11" s="318"/>
      <c r="D11" s="319" t="s">
        <v>708</v>
      </c>
      <c r="E11" s="324">
        <v>60.541511536030299</v>
      </c>
      <c r="F11" s="324">
        <v>56.924909800502967</v>
      </c>
      <c r="G11" s="324">
        <v>54.061003792667471</v>
      </c>
      <c r="H11" s="324">
        <v>50.158895284719044</v>
      </c>
      <c r="I11" s="324">
        <v>61.334903408673519</v>
      </c>
      <c r="J11" s="324">
        <v>65.317642208334391</v>
      </c>
      <c r="K11" s="324">
        <v>47.216814159292035</v>
      </c>
      <c r="L11" s="324">
        <v>53.100976410146053</v>
      </c>
      <c r="M11" s="321" t="s">
        <v>58</v>
      </c>
      <c r="N11" s="321" t="s">
        <v>706</v>
      </c>
      <c r="O11" s="321" t="s">
        <v>707</v>
      </c>
      <c r="P11" s="304"/>
      <c r="Q11" s="304" t="s">
        <v>764</v>
      </c>
      <c r="R11" s="304"/>
      <c r="S11" s="304"/>
    </row>
    <row r="12" spans="3:19" x14ac:dyDescent="0.25">
      <c r="C12" s="318"/>
      <c r="D12" s="319" t="s">
        <v>709</v>
      </c>
      <c r="E12" s="322">
        <f>E19+(E19*8)</f>
        <v>167.12316048465729</v>
      </c>
      <c r="F12" s="322">
        <f t="shared" ref="F12:L12" si="1">F19+(F19*8)</f>
        <v>177.74097111226911</v>
      </c>
      <c r="G12" s="322">
        <f t="shared" si="1"/>
        <v>187.15687905506584</v>
      </c>
      <c r="H12" s="322">
        <f t="shared" si="1"/>
        <v>201.71673819742492</v>
      </c>
      <c r="I12" s="322">
        <f t="shared" si="1"/>
        <v>164.96135456518755</v>
      </c>
      <c r="J12" s="322">
        <f t="shared" si="1"/>
        <v>154.90284716873478</v>
      </c>
      <c r="K12" s="322">
        <f t="shared" si="1"/>
        <v>214.28571428571425</v>
      </c>
      <c r="L12" s="322">
        <f t="shared" si="1"/>
        <v>190.54054054054058</v>
      </c>
      <c r="M12" s="321" t="s">
        <v>104</v>
      </c>
      <c r="N12" s="321" t="s">
        <v>104</v>
      </c>
      <c r="O12" s="321" t="s">
        <v>104</v>
      </c>
      <c r="P12" s="304"/>
      <c r="Q12" s="304" t="s">
        <v>764</v>
      </c>
      <c r="R12" s="304"/>
      <c r="S12" s="304"/>
    </row>
    <row r="13" spans="3:19" x14ac:dyDescent="0.25">
      <c r="C13" s="318"/>
      <c r="D13" s="323" t="s">
        <v>107</v>
      </c>
      <c r="E13" s="322"/>
      <c r="F13" s="322"/>
      <c r="G13" s="322"/>
      <c r="H13" s="322"/>
      <c r="I13" s="322"/>
      <c r="J13" s="322"/>
      <c r="K13" s="322"/>
      <c r="L13" s="322"/>
      <c r="M13" s="321" t="s">
        <v>104</v>
      </c>
      <c r="N13" s="321" t="s">
        <v>104</v>
      </c>
      <c r="O13" s="321" t="s">
        <v>104</v>
      </c>
      <c r="P13" s="304"/>
      <c r="Q13" s="304" t="s">
        <v>764</v>
      </c>
      <c r="R13" s="304"/>
      <c r="S13" s="304"/>
    </row>
    <row r="14" spans="3:19" x14ac:dyDescent="0.25">
      <c r="C14" s="318"/>
      <c r="D14" s="319" t="s">
        <v>710</v>
      </c>
      <c r="E14" s="326">
        <f t="shared" ref="E14:L14" si="2">(33.3/E11)*100</f>
        <v>55.003582096198642</v>
      </c>
      <c r="F14" s="326">
        <f t="shared" si="2"/>
        <v>58.498116407565689</v>
      </c>
      <c r="G14" s="326">
        <f t="shared" si="2"/>
        <v>61.597080453242747</v>
      </c>
      <c r="H14" s="326">
        <f t="shared" si="2"/>
        <v>66.389021949103565</v>
      </c>
      <c r="I14" s="326">
        <f t="shared" si="2"/>
        <v>54.29208843474099</v>
      </c>
      <c r="J14" s="326">
        <f t="shared" si="2"/>
        <v>50.981632027971436</v>
      </c>
      <c r="K14" s="326">
        <f t="shared" si="2"/>
        <v>70.525723924655608</v>
      </c>
      <c r="L14" s="326">
        <f t="shared" si="2"/>
        <v>62.71071127354513</v>
      </c>
      <c r="M14" s="321" t="s">
        <v>84</v>
      </c>
      <c r="N14" s="321" t="s">
        <v>104</v>
      </c>
      <c r="O14" s="321" t="s">
        <v>104</v>
      </c>
      <c r="P14" s="304"/>
      <c r="Q14" s="304" t="s">
        <v>764</v>
      </c>
      <c r="R14" s="304"/>
      <c r="S14" s="304"/>
    </row>
    <row r="15" spans="3:19" x14ac:dyDescent="0.25">
      <c r="C15" s="318"/>
      <c r="D15" s="319" t="s">
        <v>711</v>
      </c>
      <c r="E15" s="326">
        <f t="shared" ref="E15:L15" si="3">(E19*39.4/1000*100)-(33.3/E10)*100</f>
        <v>11.327236432849013</v>
      </c>
      <c r="F15" s="326">
        <f t="shared" si="3"/>
        <v>12.046888042053794</v>
      </c>
      <c r="G15" s="326">
        <f t="shared" si="3"/>
        <v>12.68507735817667</v>
      </c>
      <c r="H15" s="326">
        <f t="shared" si="3"/>
        <v>13.67191225560326</v>
      </c>
      <c r="I15" s="326">
        <f t="shared" si="3"/>
        <v>11.180714031640484</v>
      </c>
      <c r="J15" s="326">
        <f t="shared" si="3"/>
        <v>10.498970752547571</v>
      </c>
      <c r="K15" s="326">
        <f t="shared" si="3"/>
        <v>14.523809523809518</v>
      </c>
      <c r="L15" s="326">
        <f t="shared" si="3"/>
        <v>12.914414414414424</v>
      </c>
      <c r="M15" s="321" t="s">
        <v>712</v>
      </c>
      <c r="N15" s="321" t="s">
        <v>104</v>
      </c>
      <c r="O15" s="321" t="s">
        <v>104</v>
      </c>
      <c r="P15" s="304"/>
      <c r="Q15" s="304" t="s">
        <v>764</v>
      </c>
      <c r="R15" s="304"/>
      <c r="S15" s="304"/>
    </row>
    <row r="16" spans="3:19" x14ac:dyDescent="0.25">
      <c r="C16" s="318"/>
      <c r="D16" s="319" t="s">
        <v>713</v>
      </c>
      <c r="E16" s="326">
        <f>100-E14-E15</f>
        <v>33.669181470952346</v>
      </c>
      <c r="F16" s="326">
        <f t="shared" ref="F16:L16" si="4">100-F14-F15</f>
        <v>29.454995550380517</v>
      </c>
      <c r="G16" s="326">
        <f t="shared" si="4"/>
        <v>25.717842188580583</v>
      </c>
      <c r="H16" s="326">
        <f t="shared" si="4"/>
        <v>19.939065795293175</v>
      </c>
      <c r="I16" s="326">
        <f t="shared" si="4"/>
        <v>34.527197533618526</v>
      </c>
      <c r="J16" s="326">
        <f t="shared" si="4"/>
        <v>38.519397219480993</v>
      </c>
      <c r="K16" s="326">
        <f t="shared" si="4"/>
        <v>14.950466551534873</v>
      </c>
      <c r="L16" s="326">
        <f t="shared" si="4"/>
        <v>24.374874312040447</v>
      </c>
      <c r="M16" s="321" t="s">
        <v>104</v>
      </c>
      <c r="N16" s="321" t="s">
        <v>104</v>
      </c>
      <c r="O16" s="321" t="s">
        <v>104</v>
      </c>
      <c r="P16" s="304"/>
      <c r="Q16" s="304" t="s">
        <v>764</v>
      </c>
      <c r="R16" s="304"/>
      <c r="S16" s="304"/>
    </row>
    <row r="17" spans="3:19" x14ac:dyDescent="0.25">
      <c r="C17" s="318"/>
      <c r="D17" s="319" t="s">
        <v>714</v>
      </c>
      <c r="E17" s="324">
        <v>3</v>
      </c>
      <c r="F17" s="324">
        <v>3</v>
      </c>
      <c r="G17" s="324">
        <v>3</v>
      </c>
      <c r="H17" s="324">
        <v>3</v>
      </c>
      <c r="I17" s="324">
        <v>3</v>
      </c>
      <c r="J17" s="324">
        <v>3</v>
      </c>
      <c r="K17" s="324">
        <v>3</v>
      </c>
      <c r="L17" s="324">
        <v>3</v>
      </c>
      <c r="M17" s="321" t="s">
        <v>92</v>
      </c>
      <c r="N17" s="321" t="s">
        <v>104</v>
      </c>
      <c r="O17" s="321" t="s">
        <v>104</v>
      </c>
      <c r="P17" s="304"/>
      <c r="Q17" s="304" t="s">
        <v>764</v>
      </c>
      <c r="R17" s="304"/>
      <c r="S17" s="304"/>
    </row>
    <row r="18" spans="3:19" x14ac:dyDescent="0.25">
      <c r="C18" s="318"/>
      <c r="D18" s="319" t="s">
        <v>715</v>
      </c>
      <c r="E18" s="326">
        <f>E16-E17</f>
        <v>30.669181470952346</v>
      </c>
      <c r="F18" s="326">
        <f t="shared" ref="F18:L18" si="5">F16-F17</f>
        <v>26.454995550380517</v>
      </c>
      <c r="G18" s="326">
        <f t="shared" si="5"/>
        <v>22.717842188580583</v>
      </c>
      <c r="H18" s="326">
        <f t="shared" si="5"/>
        <v>16.939065795293175</v>
      </c>
      <c r="I18" s="326">
        <f t="shared" si="5"/>
        <v>31.527197533618526</v>
      </c>
      <c r="J18" s="326">
        <f t="shared" si="5"/>
        <v>35.519397219480993</v>
      </c>
      <c r="K18" s="326">
        <f t="shared" si="5"/>
        <v>11.950466551534873</v>
      </c>
      <c r="L18" s="326">
        <f t="shared" si="5"/>
        <v>21.374874312040447</v>
      </c>
      <c r="M18" s="321" t="s">
        <v>93</v>
      </c>
      <c r="N18" s="321" t="s">
        <v>104</v>
      </c>
      <c r="O18" s="321" t="s">
        <v>104</v>
      </c>
      <c r="P18" s="304"/>
      <c r="Q18" s="304" t="s">
        <v>764</v>
      </c>
      <c r="R18" s="304"/>
      <c r="S18" s="304"/>
    </row>
    <row r="19" spans="3:19" x14ac:dyDescent="0.25">
      <c r="C19" s="318"/>
      <c r="D19" s="319" t="s">
        <v>716</v>
      </c>
      <c r="E19" s="326">
        <f t="shared" ref="E19:L19" si="6">(E7/24)/E6</f>
        <v>18.569240053850809</v>
      </c>
      <c r="F19" s="326">
        <f t="shared" si="6"/>
        <v>19.748996790252122</v>
      </c>
      <c r="G19" s="326">
        <f t="shared" si="6"/>
        <v>20.795208783896204</v>
      </c>
      <c r="H19" s="326">
        <f t="shared" si="6"/>
        <v>22.412970910824992</v>
      </c>
      <c r="I19" s="326">
        <f t="shared" si="6"/>
        <v>18.32903939613195</v>
      </c>
      <c r="J19" s="326">
        <f t="shared" si="6"/>
        <v>17.211427463192752</v>
      </c>
      <c r="K19" s="326">
        <f t="shared" si="6"/>
        <v>23.809523809523807</v>
      </c>
      <c r="L19" s="326">
        <f t="shared" si="6"/>
        <v>21.171171171171174</v>
      </c>
      <c r="M19" s="321" t="s">
        <v>104</v>
      </c>
      <c r="N19" s="321" t="s">
        <v>104</v>
      </c>
      <c r="O19" s="321" t="s">
        <v>104</v>
      </c>
      <c r="P19" s="304"/>
      <c r="Q19" s="304" t="s">
        <v>764</v>
      </c>
      <c r="R19" s="304"/>
      <c r="S19" s="304"/>
    </row>
    <row r="20" spans="3:19" x14ac:dyDescent="0.25">
      <c r="C20" s="318"/>
      <c r="D20" s="319" t="s">
        <v>310</v>
      </c>
      <c r="E20" s="324">
        <v>3</v>
      </c>
      <c r="F20" s="324">
        <v>3</v>
      </c>
      <c r="G20" s="324">
        <v>3</v>
      </c>
      <c r="H20" s="324">
        <v>3</v>
      </c>
      <c r="I20" s="324">
        <v>3</v>
      </c>
      <c r="J20" s="324">
        <v>3</v>
      </c>
      <c r="K20" s="324">
        <v>3</v>
      </c>
      <c r="L20" s="324">
        <v>3</v>
      </c>
      <c r="M20" s="321" t="s">
        <v>79</v>
      </c>
      <c r="N20" s="321" t="s">
        <v>104</v>
      </c>
      <c r="O20" s="321" t="s">
        <v>104</v>
      </c>
      <c r="P20" s="304"/>
      <c r="Q20" s="304" t="s">
        <v>764</v>
      </c>
      <c r="R20" s="304"/>
      <c r="S20" s="304"/>
    </row>
    <row r="21" spans="3:19" x14ac:dyDescent="0.25">
      <c r="C21" s="318"/>
      <c r="D21" s="319" t="s">
        <v>717</v>
      </c>
      <c r="E21" s="320">
        <v>11</v>
      </c>
      <c r="F21" s="320">
        <v>11</v>
      </c>
      <c r="G21" s="320">
        <v>11</v>
      </c>
      <c r="H21" s="320">
        <v>11</v>
      </c>
      <c r="I21" s="320">
        <v>11</v>
      </c>
      <c r="J21" s="320">
        <v>11</v>
      </c>
      <c r="K21" s="320">
        <v>11</v>
      </c>
      <c r="L21" s="320">
        <v>11</v>
      </c>
      <c r="M21" s="321" t="s">
        <v>79</v>
      </c>
      <c r="N21" s="321" t="s">
        <v>104</v>
      </c>
      <c r="O21" s="321" t="s">
        <v>104</v>
      </c>
      <c r="P21" s="304"/>
      <c r="Q21" s="304" t="s">
        <v>764</v>
      </c>
      <c r="R21" s="304"/>
      <c r="S21" s="304"/>
    </row>
    <row r="22" spans="3:19" x14ac:dyDescent="0.25">
      <c r="C22" s="318"/>
      <c r="D22" s="319" t="s">
        <v>217</v>
      </c>
      <c r="E22" s="320">
        <v>25</v>
      </c>
      <c r="F22" s="320">
        <v>25</v>
      </c>
      <c r="G22" s="320">
        <v>25</v>
      </c>
      <c r="H22" s="320">
        <v>25</v>
      </c>
      <c r="I22" s="320">
        <v>20</v>
      </c>
      <c r="J22" s="320">
        <v>30</v>
      </c>
      <c r="K22" s="320">
        <v>20</v>
      </c>
      <c r="L22" s="320">
        <v>30</v>
      </c>
      <c r="M22" s="321" t="s">
        <v>79</v>
      </c>
      <c r="N22" s="321" t="s">
        <v>104</v>
      </c>
      <c r="O22" s="321" t="s">
        <v>104</v>
      </c>
      <c r="P22" s="304"/>
      <c r="Q22" s="304" t="s">
        <v>764</v>
      </c>
      <c r="R22" s="304"/>
      <c r="S22" s="304"/>
    </row>
    <row r="23" spans="3:19" x14ac:dyDescent="0.25">
      <c r="C23" s="318"/>
      <c r="D23" s="319" t="s">
        <v>718</v>
      </c>
      <c r="E23" s="320">
        <v>65500</v>
      </c>
      <c r="F23" s="320">
        <v>77500</v>
      </c>
      <c r="G23" s="320">
        <v>90000</v>
      </c>
      <c r="H23" s="320">
        <v>105000</v>
      </c>
      <c r="I23" s="320">
        <v>46000</v>
      </c>
      <c r="J23" s="320">
        <v>64000</v>
      </c>
      <c r="K23" s="320">
        <v>86500</v>
      </c>
      <c r="L23" s="320">
        <v>123500</v>
      </c>
      <c r="M23" s="321" t="s">
        <v>719</v>
      </c>
      <c r="N23" s="321" t="s">
        <v>816</v>
      </c>
      <c r="O23" s="321" t="s">
        <v>721</v>
      </c>
      <c r="P23" s="304"/>
      <c r="Q23" s="304" t="s">
        <v>764</v>
      </c>
      <c r="R23" s="304"/>
      <c r="S23" s="304"/>
    </row>
    <row r="24" spans="3:19" x14ac:dyDescent="0.25">
      <c r="C24" s="318"/>
      <c r="D24" s="319" t="s">
        <v>218</v>
      </c>
      <c r="E24" s="324">
        <v>3</v>
      </c>
      <c r="F24" s="324">
        <v>3</v>
      </c>
      <c r="G24" s="324">
        <v>3</v>
      </c>
      <c r="H24" s="324">
        <v>3</v>
      </c>
      <c r="I24" s="324">
        <v>3</v>
      </c>
      <c r="J24" s="327" t="s">
        <v>722</v>
      </c>
      <c r="K24" s="324">
        <v>3</v>
      </c>
      <c r="L24" s="327" t="s">
        <v>722</v>
      </c>
      <c r="M24" s="321" t="s">
        <v>86</v>
      </c>
      <c r="N24" s="321" t="s">
        <v>104</v>
      </c>
      <c r="O24" s="321" t="s">
        <v>104</v>
      </c>
      <c r="P24" s="342"/>
      <c r="Q24" s="304" t="s">
        <v>764</v>
      </c>
      <c r="R24" s="304"/>
      <c r="S24" s="304"/>
    </row>
    <row r="25" spans="3:19" x14ac:dyDescent="0.25">
      <c r="C25" s="318" t="s">
        <v>202</v>
      </c>
      <c r="D25" s="165"/>
      <c r="E25" s="320" t="s">
        <v>104</v>
      </c>
      <c r="F25" s="320" t="s">
        <v>104</v>
      </c>
      <c r="G25" s="320" t="s">
        <v>104</v>
      </c>
      <c r="H25" s="320" t="s">
        <v>104</v>
      </c>
      <c r="I25" s="320" t="s">
        <v>104</v>
      </c>
      <c r="J25" s="320" t="s">
        <v>104</v>
      </c>
      <c r="K25" s="320" t="s">
        <v>104</v>
      </c>
      <c r="L25" s="320" t="s">
        <v>104</v>
      </c>
      <c r="M25" s="321" t="s">
        <v>104</v>
      </c>
      <c r="N25" s="321" t="s">
        <v>104</v>
      </c>
      <c r="O25" s="321" t="s">
        <v>104</v>
      </c>
      <c r="P25" s="304"/>
      <c r="Q25" s="304" t="s">
        <v>764</v>
      </c>
      <c r="R25" s="304"/>
      <c r="S25" s="304"/>
    </row>
    <row r="26" spans="3:19" x14ac:dyDescent="0.25">
      <c r="C26" s="318"/>
      <c r="D26" s="319" t="s">
        <v>723</v>
      </c>
      <c r="E26" s="320">
        <v>900</v>
      </c>
      <c r="F26" s="320">
        <v>600</v>
      </c>
      <c r="G26" s="320">
        <v>450</v>
      </c>
      <c r="H26" s="320">
        <v>325</v>
      </c>
      <c r="I26" s="320">
        <v>950</v>
      </c>
      <c r="J26" s="320">
        <v>1450</v>
      </c>
      <c r="K26" s="320">
        <v>250</v>
      </c>
      <c r="L26" s="320">
        <v>400</v>
      </c>
      <c r="M26" s="321" t="s">
        <v>724</v>
      </c>
      <c r="N26" s="321" t="s">
        <v>817</v>
      </c>
      <c r="O26" s="321" t="s">
        <v>726</v>
      </c>
      <c r="P26" s="304" t="s">
        <v>764</v>
      </c>
      <c r="Q26" s="304" t="s">
        <v>764</v>
      </c>
      <c r="R26" s="304"/>
      <c r="S26" s="304"/>
    </row>
    <row r="27" spans="3:19" x14ac:dyDescent="0.25">
      <c r="C27" s="318"/>
      <c r="D27" s="319" t="s">
        <v>727</v>
      </c>
      <c r="E27" s="322">
        <f t="shared" ref="E27:L27" si="7">E$26*37.2414288657699%</f>
        <v>335.17285979192911</v>
      </c>
      <c r="F27" s="322">
        <f t="shared" si="7"/>
        <v>223.4485731946194</v>
      </c>
      <c r="G27" s="322">
        <f t="shared" si="7"/>
        <v>167.58642989596456</v>
      </c>
      <c r="H27" s="322">
        <f t="shared" si="7"/>
        <v>121.03464381375217</v>
      </c>
      <c r="I27" s="322">
        <f t="shared" si="7"/>
        <v>353.79357422481405</v>
      </c>
      <c r="J27" s="322">
        <f t="shared" si="7"/>
        <v>540.00071855366355</v>
      </c>
      <c r="K27" s="322">
        <f t="shared" si="7"/>
        <v>93.103572164424747</v>
      </c>
      <c r="L27" s="322">
        <f t="shared" si="7"/>
        <v>148.96571546307959</v>
      </c>
      <c r="M27" s="321" t="s">
        <v>728</v>
      </c>
      <c r="N27" s="321" t="s">
        <v>104</v>
      </c>
      <c r="O27" s="321" t="s">
        <v>104</v>
      </c>
      <c r="P27" s="304"/>
      <c r="Q27" s="304" t="s">
        <v>764</v>
      </c>
      <c r="R27" s="343"/>
      <c r="S27" s="343"/>
    </row>
    <row r="28" spans="3:19" x14ac:dyDescent="0.25">
      <c r="C28" s="318"/>
      <c r="D28" s="319" t="s">
        <v>729</v>
      </c>
      <c r="E28" s="322">
        <f t="shared" ref="E28:L28" si="8">E$26*44.5425476918252%</f>
        <v>400.88292922642677</v>
      </c>
      <c r="F28" s="322">
        <f t="shared" si="8"/>
        <v>267.25528615095118</v>
      </c>
      <c r="G28" s="322">
        <f t="shared" si="8"/>
        <v>200.44146461321338</v>
      </c>
      <c r="H28" s="322">
        <f t="shared" si="8"/>
        <v>144.7632799984319</v>
      </c>
      <c r="I28" s="322">
        <f t="shared" si="8"/>
        <v>423.15420307233939</v>
      </c>
      <c r="J28" s="322">
        <f t="shared" si="8"/>
        <v>645.86694153146539</v>
      </c>
      <c r="K28" s="322">
        <f t="shared" si="8"/>
        <v>111.35636922956299</v>
      </c>
      <c r="L28" s="322">
        <f t="shared" si="8"/>
        <v>178.1701907673008</v>
      </c>
      <c r="M28" s="321" t="s">
        <v>728</v>
      </c>
      <c r="N28" s="321" t="s">
        <v>104</v>
      </c>
      <c r="O28" s="321" t="s">
        <v>104</v>
      </c>
      <c r="P28" s="304"/>
      <c r="Q28" s="304" t="s">
        <v>764</v>
      </c>
      <c r="R28" s="343"/>
      <c r="S28" s="343"/>
    </row>
    <row r="29" spans="3:19" x14ac:dyDescent="0.25">
      <c r="C29" s="318"/>
      <c r="D29" s="319" t="s">
        <v>730</v>
      </c>
      <c r="E29" s="322">
        <f t="shared" ref="E29:L29" si="9">E$26*6.61452551106052%</f>
        <v>59.530729599544671</v>
      </c>
      <c r="F29" s="322">
        <f t="shared" si="9"/>
        <v>39.687153066363116</v>
      </c>
      <c r="G29" s="322">
        <f t="shared" si="9"/>
        <v>29.765364799772335</v>
      </c>
      <c r="H29" s="322">
        <f t="shared" si="9"/>
        <v>21.497207910946688</v>
      </c>
      <c r="I29" s="322">
        <f t="shared" si="9"/>
        <v>62.837992355074931</v>
      </c>
      <c r="J29" s="322">
        <f t="shared" si="9"/>
        <v>95.910619910377534</v>
      </c>
      <c r="K29" s="322">
        <f t="shared" si="9"/>
        <v>16.536313777651298</v>
      </c>
      <c r="L29" s="322">
        <f t="shared" si="9"/>
        <v>26.458102044242075</v>
      </c>
      <c r="M29" s="321" t="s">
        <v>728</v>
      </c>
      <c r="N29" s="321" t="s">
        <v>104</v>
      </c>
      <c r="O29" s="321" t="s">
        <v>104</v>
      </c>
      <c r="P29" s="304"/>
      <c r="Q29" s="304" t="s">
        <v>764</v>
      </c>
      <c r="R29" s="343"/>
      <c r="S29" s="343"/>
    </row>
    <row r="30" spans="3:19" x14ac:dyDescent="0.25">
      <c r="C30" s="318"/>
      <c r="D30" s="319" t="s">
        <v>731</v>
      </c>
      <c r="E30" s="322">
        <f t="shared" ref="E30:L30" si="10">E$26*4.21993790889825%</f>
        <v>37.979441180084244</v>
      </c>
      <c r="F30" s="322">
        <f t="shared" si="10"/>
        <v>25.319627453389497</v>
      </c>
      <c r="G30" s="322">
        <f t="shared" si="10"/>
        <v>18.989720590042122</v>
      </c>
      <c r="H30" s="322">
        <f t="shared" si="10"/>
        <v>13.714798203919312</v>
      </c>
      <c r="I30" s="322">
        <f t="shared" si="10"/>
        <v>40.089410134533374</v>
      </c>
      <c r="J30" s="322">
        <f t="shared" si="10"/>
        <v>61.189099679024622</v>
      </c>
      <c r="K30" s="322">
        <f t="shared" si="10"/>
        <v>10.549844772245624</v>
      </c>
      <c r="L30" s="322">
        <f t="shared" si="10"/>
        <v>16.879751635592999</v>
      </c>
      <c r="M30" s="321" t="s">
        <v>728</v>
      </c>
      <c r="N30" s="321" t="s">
        <v>104</v>
      </c>
      <c r="O30" s="321" t="s">
        <v>104</v>
      </c>
      <c r="P30" s="304"/>
      <c r="Q30" s="304" t="s">
        <v>764</v>
      </c>
      <c r="R30" s="343"/>
      <c r="S30" s="343"/>
    </row>
    <row r="31" spans="3:19" x14ac:dyDescent="0.25">
      <c r="C31" s="318"/>
      <c r="D31" s="319" t="s">
        <v>732</v>
      </c>
      <c r="E31" s="322">
        <f t="shared" ref="E31:L31" si="11">E$26*3.0753399267524%</f>
        <v>27.678059340771604</v>
      </c>
      <c r="F31" s="322">
        <f t="shared" si="11"/>
        <v>18.452039560514404</v>
      </c>
      <c r="G31" s="322">
        <f t="shared" si="11"/>
        <v>13.839029670385802</v>
      </c>
      <c r="H31" s="322">
        <f t="shared" si="11"/>
        <v>9.9948547619453016</v>
      </c>
      <c r="I31" s="322">
        <f t="shared" si="11"/>
        <v>29.215729304147803</v>
      </c>
      <c r="J31" s="322">
        <f t="shared" si="11"/>
        <v>44.592428937909808</v>
      </c>
      <c r="K31" s="322">
        <f t="shared" si="11"/>
        <v>7.6883498168810007</v>
      </c>
      <c r="L31" s="322">
        <f t="shared" si="11"/>
        <v>12.301359707009601</v>
      </c>
      <c r="M31" s="321" t="s">
        <v>728</v>
      </c>
      <c r="N31" s="321" t="s">
        <v>104</v>
      </c>
      <c r="O31" s="321" t="s">
        <v>104</v>
      </c>
      <c r="P31" s="304"/>
      <c r="Q31" s="304" t="s">
        <v>764</v>
      </c>
      <c r="R31" s="343"/>
      <c r="S31" s="343"/>
    </row>
    <row r="32" spans="3:19" x14ac:dyDescent="0.25">
      <c r="C32" s="318"/>
      <c r="D32" s="319" t="s">
        <v>733</v>
      </c>
      <c r="E32" s="322">
        <f t="shared" ref="E32:L32" si="12">E$26*4.30622009569378%</f>
        <v>38.755980861244012</v>
      </c>
      <c r="F32" s="322">
        <f t="shared" si="12"/>
        <v>25.837320574162678</v>
      </c>
      <c r="G32" s="322">
        <f t="shared" si="12"/>
        <v>19.377990430622006</v>
      </c>
      <c r="H32" s="322">
        <f t="shared" si="12"/>
        <v>13.995215311004783</v>
      </c>
      <c r="I32" s="322">
        <f t="shared" si="12"/>
        <v>40.909090909090907</v>
      </c>
      <c r="J32" s="322">
        <f t="shared" si="12"/>
        <v>62.4401913875598</v>
      </c>
      <c r="K32" s="322">
        <f t="shared" si="12"/>
        <v>10.765550239234448</v>
      </c>
      <c r="L32" s="322">
        <f t="shared" si="12"/>
        <v>17.224880382775119</v>
      </c>
      <c r="M32" s="321" t="s">
        <v>728</v>
      </c>
      <c r="N32" s="321" t="s">
        <v>104</v>
      </c>
      <c r="O32" s="321" t="s">
        <v>104</v>
      </c>
      <c r="P32" s="304"/>
      <c r="Q32" s="304" t="s">
        <v>764</v>
      </c>
      <c r="R32" s="343"/>
      <c r="S32" s="343"/>
    </row>
    <row r="33" spans="3:19" x14ac:dyDescent="0.25">
      <c r="C33" s="318"/>
      <c r="D33" s="319" t="s">
        <v>734</v>
      </c>
      <c r="E33" s="322">
        <f t="shared" ref="E33:L33" si="13">E26/(E7/1000/E6)</f>
        <v>2019.4687499999986</v>
      </c>
      <c r="F33" s="322">
        <f t="shared" si="13"/>
        <v>1265.8870860893408</v>
      </c>
      <c r="G33" s="322">
        <f t="shared" si="13"/>
        <v>901.64999999999941</v>
      </c>
      <c r="H33" s="322">
        <f t="shared" si="13"/>
        <v>604.188829787234</v>
      </c>
      <c r="I33" s="322">
        <f t="shared" si="13"/>
        <v>2159.5967185103418</v>
      </c>
      <c r="J33" s="322">
        <f t="shared" si="13"/>
        <v>3510.2647235895952</v>
      </c>
      <c r="K33" s="322">
        <f t="shared" si="13"/>
        <v>437.50000000000011</v>
      </c>
      <c r="L33" s="322">
        <f t="shared" si="13"/>
        <v>787.23404255319133</v>
      </c>
      <c r="M33" s="321" t="s">
        <v>735</v>
      </c>
      <c r="N33" s="321" t="s">
        <v>104</v>
      </c>
      <c r="O33" s="321" t="s">
        <v>104</v>
      </c>
      <c r="P33" s="304"/>
      <c r="Q33" s="304" t="s">
        <v>764</v>
      </c>
      <c r="R33" s="343"/>
      <c r="S33" s="343"/>
    </row>
    <row r="34" spans="3:19" x14ac:dyDescent="0.25">
      <c r="C34" s="318"/>
      <c r="D34" s="319" t="s">
        <v>736</v>
      </c>
      <c r="E34" s="320">
        <v>90</v>
      </c>
      <c r="F34" s="320">
        <v>90</v>
      </c>
      <c r="G34" s="320">
        <v>90</v>
      </c>
      <c r="H34" s="320">
        <v>90</v>
      </c>
      <c r="I34" s="320">
        <v>90</v>
      </c>
      <c r="J34" s="320">
        <v>90</v>
      </c>
      <c r="K34" s="320">
        <v>90</v>
      </c>
      <c r="L34" s="320">
        <v>90</v>
      </c>
      <c r="M34" s="321" t="s">
        <v>737</v>
      </c>
      <c r="N34" s="321" t="s">
        <v>104</v>
      </c>
      <c r="O34" s="321" t="s">
        <v>104</v>
      </c>
      <c r="P34" s="304"/>
      <c r="Q34" s="304" t="s">
        <v>764</v>
      </c>
      <c r="R34" s="304"/>
      <c r="S34" s="304"/>
    </row>
    <row r="35" spans="3:19" x14ac:dyDescent="0.25">
      <c r="C35" s="318"/>
      <c r="D35" s="319" t="s">
        <v>738</v>
      </c>
      <c r="E35" s="320">
        <v>10</v>
      </c>
      <c r="F35" s="320">
        <v>10</v>
      </c>
      <c r="G35" s="320">
        <v>10</v>
      </c>
      <c r="H35" s="320">
        <v>10</v>
      </c>
      <c r="I35" s="320">
        <v>10</v>
      </c>
      <c r="J35" s="320">
        <v>10</v>
      </c>
      <c r="K35" s="320">
        <v>10</v>
      </c>
      <c r="L35" s="320">
        <v>10</v>
      </c>
      <c r="M35" s="321" t="s">
        <v>737</v>
      </c>
      <c r="N35" s="321" t="s">
        <v>104</v>
      </c>
      <c r="O35" s="321" t="s">
        <v>104</v>
      </c>
      <c r="P35" s="304"/>
      <c r="Q35" s="304" t="s">
        <v>764</v>
      </c>
      <c r="R35" s="304"/>
      <c r="S35" s="304"/>
    </row>
    <row r="36" spans="3:19" x14ac:dyDescent="0.25">
      <c r="C36" s="318"/>
      <c r="D36" s="319" t="s">
        <v>739</v>
      </c>
      <c r="E36" s="320">
        <v>2</v>
      </c>
      <c r="F36" s="320">
        <v>2</v>
      </c>
      <c r="G36" s="320">
        <v>2</v>
      </c>
      <c r="H36" s="320">
        <v>2</v>
      </c>
      <c r="I36" s="320">
        <v>2</v>
      </c>
      <c r="J36" s="320">
        <v>2</v>
      </c>
      <c r="K36" s="320">
        <v>2</v>
      </c>
      <c r="L36" s="320">
        <v>2</v>
      </c>
      <c r="M36" s="321" t="s">
        <v>740</v>
      </c>
      <c r="N36" s="321" t="s">
        <v>741</v>
      </c>
      <c r="O36" s="321" t="s">
        <v>742</v>
      </c>
      <c r="P36" s="304"/>
      <c r="Q36" s="304" t="s">
        <v>764</v>
      </c>
      <c r="R36" s="304"/>
      <c r="S36" s="304"/>
    </row>
    <row r="37" spans="3:19" x14ac:dyDescent="0.25">
      <c r="C37" s="318"/>
      <c r="D37" s="319" t="s">
        <v>743</v>
      </c>
      <c r="E37" s="320" t="s">
        <v>85</v>
      </c>
      <c r="F37" s="320" t="s">
        <v>85</v>
      </c>
      <c r="G37" s="320" t="s">
        <v>85</v>
      </c>
      <c r="H37" s="320" t="s">
        <v>85</v>
      </c>
      <c r="I37" s="320" t="s">
        <v>104</v>
      </c>
      <c r="J37" s="320" t="s">
        <v>104</v>
      </c>
      <c r="K37" s="320" t="s">
        <v>104</v>
      </c>
      <c r="L37" s="320" t="s">
        <v>104</v>
      </c>
      <c r="M37" s="321" t="s">
        <v>744</v>
      </c>
      <c r="N37" s="321" t="s">
        <v>104</v>
      </c>
      <c r="O37" s="321" t="s">
        <v>104</v>
      </c>
      <c r="P37" s="304"/>
      <c r="Q37" s="304" t="s">
        <v>764</v>
      </c>
      <c r="R37" s="304"/>
      <c r="S37" s="304"/>
    </row>
    <row r="38" spans="3:19" x14ac:dyDescent="0.25">
      <c r="C38" s="318" t="s">
        <v>240</v>
      </c>
      <c r="D38" s="318"/>
      <c r="E38" s="320" t="s">
        <v>104</v>
      </c>
      <c r="F38" s="320" t="s">
        <v>104</v>
      </c>
      <c r="G38" s="320" t="s">
        <v>104</v>
      </c>
      <c r="H38" s="320" t="s">
        <v>104</v>
      </c>
      <c r="I38" s="320" t="s">
        <v>104</v>
      </c>
      <c r="J38" s="320" t="s">
        <v>104</v>
      </c>
      <c r="K38" s="320" t="s">
        <v>104</v>
      </c>
      <c r="L38" s="320" t="s">
        <v>104</v>
      </c>
      <c r="M38" s="321"/>
      <c r="N38" s="321"/>
      <c r="O38" s="321"/>
      <c r="P38" s="304"/>
      <c r="Q38" s="304" t="s">
        <v>764</v>
      </c>
      <c r="R38" s="304"/>
      <c r="S38" s="304"/>
    </row>
    <row r="39" spans="3:19" x14ac:dyDescent="0.25">
      <c r="C39" s="318"/>
      <c r="D39" s="319" t="s">
        <v>745</v>
      </c>
      <c r="E39" s="324">
        <v>2.8</v>
      </c>
      <c r="F39" s="324">
        <v>5</v>
      </c>
      <c r="G39" s="324">
        <v>7.5</v>
      </c>
      <c r="H39" s="324">
        <v>10</v>
      </c>
      <c r="I39" s="324">
        <v>1.5</v>
      </c>
      <c r="J39" s="324">
        <v>3</v>
      </c>
      <c r="K39" s="324">
        <v>7.5</v>
      </c>
      <c r="L39" s="324">
        <v>12.5</v>
      </c>
      <c r="M39" s="321" t="s">
        <v>746</v>
      </c>
      <c r="N39" s="321" t="s">
        <v>741</v>
      </c>
      <c r="O39" s="321" t="s">
        <v>742</v>
      </c>
      <c r="P39" s="304"/>
      <c r="Q39" s="304" t="s">
        <v>764</v>
      </c>
      <c r="R39" s="304"/>
      <c r="S39" s="304"/>
    </row>
    <row r="40" spans="3:19" x14ac:dyDescent="0.25">
      <c r="C40" s="318"/>
      <c r="D40" s="319" t="s">
        <v>747</v>
      </c>
      <c r="E40" s="324" t="s">
        <v>104</v>
      </c>
      <c r="F40" s="324" t="s">
        <v>104</v>
      </c>
      <c r="G40" s="324" t="s">
        <v>104</v>
      </c>
      <c r="H40" s="324" t="s">
        <v>104</v>
      </c>
      <c r="I40" s="324" t="s">
        <v>104</v>
      </c>
      <c r="J40" s="324" t="s">
        <v>104</v>
      </c>
      <c r="K40" s="324" t="s">
        <v>104</v>
      </c>
      <c r="L40" s="324" t="s">
        <v>104</v>
      </c>
      <c r="M40" s="321" t="s">
        <v>104</v>
      </c>
      <c r="N40" s="321" t="s">
        <v>104</v>
      </c>
      <c r="O40" s="321" t="s">
        <v>104</v>
      </c>
      <c r="P40" s="304"/>
      <c r="Q40" s="304" t="s">
        <v>764</v>
      </c>
      <c r="R40" s="304"/>
      <c r="S40" s="304"/>
    </row>
    <row r="41" spans="3:19" x14ac:dyDescent="0.25">
      <c r="C41" s="318"/>
      <c r="D41" s="329" t="s">
        <v>748</v>
      </c>
      <c r="E41" s="324">
        <v>0.3</v>
      </c>
      <c r="F41" s="324">
        <v>0.2</v>
      </c>
      <c r="G41" s="324">
        <v>0.16666666666666666</v>
      </c>
      <c r="H41" s="324">
        <v>0.2</v>
      </c>
      <c r="I41" s="324">
        <v>0.3</v>
      </c>
      <c r="J41" s="324">
        <v>1</v>
      </c>
      <c r="K41" s="324">
        <v>0.1</v>
      </c>
      <c r="L41" s="324">
        <v>0.3</v>
      </c>
      <c r="M41" s="321" t="s">
        <v>750</v>
      </c>
      <c r="N41" s="321" t="s">
        <v>751</v>
      </c>
      <c r="O41" s="321" t="s">
        <v>752</v>
      </c>
      <c r="P41" s="330"/>
      <c r="Q41" s="304" t="s">
        <v>764</v>
      </c>
      <c r="R41" s="304"/>
      <c r="S41" s="304"/>
    </row>
    <row r="42" spans="3:19" x14ac:dyDescent="0.25">
      <c r="C42" s="318"/>
      <c r="D42" s="319" t="s">
        <v>753</v>
      </c>
      <c r="E42" s="324">
        <v>1.5</v>
      </c>
      <c r="F42" s="324">
        <v>2</v>
      </c>
      <c r="G42" s="324">
        <v>5</v>
      </c>
      <c r="H42" s="324">
        <v>10</v>
      </c>
      <c r="I42" s="324">
        <v>1</v>
      </c>
      <c r="J42" s="324">
        <v>1.3</v>
      </c>
      <c r="K42" s="324">
        <v>10</v>
      </c>
      <c r="L42" s="324">
        <v>10</v>
      </c>
      <c r="M42" s="321" t="s">
        <v>79</v>
      </c>
      <c r="N42" s="321" t="s">
        <v>754</v>
      </c>
      <c r="O42" s="321" t="s">
        <v>755</v>
      </c>
      <c r="P42" s="304"/>
      <c r="Q42" s="304" t="s">
        <v>764</v>
      </c>
      <c r="R42" s="304"/>
      <c r="S42" s="304"/>
    </row>
    <row r="43" spans="3:19" x14ac:dyDescent="0.25">
      <c r="C43" s="318"/>
      <c r="D43" s="319" t="s">
        <v>756</v>
      </c>
      <c r="E43" s="328">
        <v>0.17249999999999999</v>
      </c>
      <c r="F43" s="328">
        <v>0.125</v>
      </c>
      <c r="G43" s="328">
        <v>0.1</v>
      </c>
      <c r="H43" s="328">
        <v>0.1</v>
      </c>
      <c r="I43" s="328">
        <v>0.19000000000000003</v>
      </c>
      <c r="J43" s="328">
        <v>0.24999999999999997</v>
      </c>
      <c r="K43" s="328">
        <v>0.10500000000000001</v>
      </c>
      <c r="L43" s="328">
        <v>9.5000000000000001E-2</v>
      </c>
      <c r="M43" s="321" t="s">
        <v>757</v>
      </c>
      <c r="N43" s="321" t="s">
        <v>818</v>
      </c>
      <c r="O43" s="321" t="s">
        <v>759</v>
      </c>
      <c r="P43" s="304"/>
      <c r="Q43" s="304" t="s">
        <v>764</v>
      </c>
      <c r="R43" s="304"/>
      <c r="S43" s="304"/>
    </row>
    <row r="44" spans="3:19" x14ac:dyDescent="0.25">
      <c r="C44" s="318"/>
      <c r="D44" s="319" t="s">
        <v>760</v>
      </c>
      <c r="E44" s="320">
        <v>8.5106382978723403</v>
      </c>
      <c r="F44" s="320">
        <v>5</v>
      </c>
      <c r="G44" s="320">
        <v>4.1489361702127656</v>
      </c>
      <c r="H44" s="320">
        <v>3.1117021276595702</v>
      </c>
      <c r="I44" s="320">
        <v>15</v>
      </c>
      <c r="J44" s="320">
        <v>7.5</v>
      </c>
      <c r="K44" s="320">
        <v>4.6675531914893611</v>
      </c>
      <c r="L44" s="320">
        <v>2.3337765957446805</v>
      </c>
      <c r="M44" s="321" t="s">
        <v>761</v>
      </c>
      <c r="N44" s="321" t="s">
        <v>104</v>
      </c>
      <c r="O44" s="321" t="s">
        <v>104</v>
      </c>
      <c r="P44" s="304"/>
      <c r="Q44" s="304" t="s">
        <v>764</v>
      </c>
      <c r="R44" s="304"/>
      <c r="S44" s="304"/>
    </row>
    <row r="45" spans="3:19" x14ac:dyDescent="0.25">
      <c r="C45" s="318"/>
      <c r="D45" s="319" t="s">
        <v>762</v>
      </c>
      <c r="E45" s="320">
        <v>69.787234042553195</v>
      </c>
      <c r="F45" s="320">
        <v>41</v>
      </c>
      <c r="G45" s="320">
        <v>34.021276595744681</v>
      </c>
      <c r="H45" s="320">
        <v>25.51595744680851</v>
      </c>
      <c r="I45" s="322">
        <v>65.599999999999994</v>
      </c>
      <c r="J45" s="322">
        <v>123</v>
      </c>
      <c r="K45" s="322">
        <v>20.412765957446808</v>
      </c>
      <c r="L45" s="322">
        <v>38.273936170212764</v>
      </c>
      <c r="M45" s="321" t="s">
        <v>763</v>
      </c>
      <c r="N45" s="321" t="s">
        <v>104</v>
      </c>
      <c r="O45" s="321" t="s">
        <v>104</v>
      </c>
      <c r="P45" s="330"/>
      <c r="Q45" s="304" t="s">
        <v>764</v>
      </c>
      <c r="R45" s="304"/>
      <c r="S45" s="304"/>
    </row>
    <row r="46" spans="3:19" ht="13.8" thickBot="1" x14ac:dyDescent="0.3">
      <c r="C46" s="331"/>
      <c r="D46" s="332" t="s">
        <v>765</v>
      </c>
      <c r="E46" s="344">
        <v>14.142857142857144</v>
      </c>
      <c r="F46" s="344">
        <v>7.9200000000000008</v>
      </c>
      <c r="G46" s="344">
        <v>5.28</v>
      </c>
      <c r="H46" s="344">
        <v>3.9600000000000004</v>
      </c>
      <c r="I46" s="344">
        <v>12.272727272727272</v>
      </c>
      <c r="J46" s="344">
        <v>24.545454545454543</v>
      </c>
      <c r="K46" s="344">
        <v>2.97</v>
      </c>
      <c r="L46" s="344">
        <v>4.95</v>
      </c>
      <c r="M46" s="334" t="s">
        <v>766</v>
      </c>
      <c r="N46" s="334" t="s">
        <v>104</v>
      </c>
      <c r="O46" s="334" t="s">
        <v>104</v>
      </c>
      <c r="P46" s="304"/>
      <c r="Q46" s="304" t="s">
        <v>764</v>
      </c>
      <c r="R46" s="304"/>
      <c r="S46" s="304"/>
    </row>
    <row r="47" spans="3:19" x14ac:dyDescent="0.25">
      <c r="C47" s="318"/>
      <c r="D47" s="304"/>
      <c r="E47" s="335"/>
      <c r="F47" s="335"/>
      <c r="G47" s="335"/>
      <c r="H47" s="335"/>
      <c r="I47" s="335"/>
      <c r="J47" s="335"/>
      <c r="K47" s="335"/>
      <c r="L47" s="335"/>
      <c r="M47" s="316"/>
      <c r="N47" s="336"/>
      <c r="O47" s="336"/>
      <c r="P47" s="304"/>
      <c r="Q47" s="304"/>
      <c r="R47" s="304"/>
      <c r="S47" s="304"/>
    </row>
    <row r="48" spans="3:19" x14ac:dyDescent="0.25">
      <c r="C48" s="318"/>
      <c r="D48" s="304"/>
      <c r="E48" s="335"/>
      <c r="F48" s="335"/>
      <c r="G48" s="335"/>
      <c r="H48" s="335"/>
      <c r="I48" s="335"/>
      <c r="J48" s="335"/>
      <c r="K48" s="335"/>
      <c r="L48" s="335"/>
      <c r="M48" s="316"/>
      <c r="N48" s="336"/>
      <c r="O48" s="336"/>
      <c r="P48" s="304"/>
      <c r="Q48" s="304"/>
      <c r="R48" s="304"/>
      <c r="S48" s="304"/>
    </row>
    <row r="49" spans="3:19" x14ac:dyDescent="0.25">
      <c r="C49" s="318"/>
      <c r="D49" s="304"/>
      <c r="E49" s="335"/>
      <c r="F49" s="335"/>
      <c r="G49" s="335"/>
      <c r="H49" s="335"/>
      <c r="I49" s="335"/>
      <c r="J49" s="335"/>
      <c r="K49" s="335"/>
      <c r="L49" s="335"/>
      <c r="M49" s="316"/>
      <c r="N49" s="336"/>
      <c r="O49" s="336"/>
      <c r="P49" s="304"/>
      <c r="Q49" s="304"/>
      <c r="R49" s="304"/>
      <c r="S49" s="304"/>
    </row>
    <row r="50" spans="3:19" x14ac:dyDescent="0.25">
      <c r="C50" s="318"/>
      <c r="D50" s="304"/>
      <c r="E50" s="335"/>
      <c r="F50" s="335"/>
      <c r="G50" s="335"/>
      <c r="H50" s="335"/>
      <c r="I50" s="335"/>
      <c r="J50" s="335"/>
      <c r="K50" s="335"/>
      <c r="L50" s="335"/>
      <c r="M50" s="316"/>
      <c r="N50" s="336"/>
      <c r="O50" s="336"/>
      <c r="P50" s="304"/>
      <c r="Q50" s="304"/>
      <c r="R50" s="304"/>
      <c r="S50" s="304"/>
    </row>
    <row r="51" spans="3:19" x14ac:dyDescent="0.25">
      <c r="C51" s="358" t="s">
        <v>89</v>
      </c>
      <c r="D51" s="358" t="s">
        <v>104</v>
      </c>
      <c r="E51" s="358"/>
      <c r="F51" s="358"/>
      <c r="G51" s="358"/>
      <c r="H51" s="358"/>
      <c r="I51" s="358"/>
      <c r="J51" s="358"/>
      <c r="K51" s="358"/>
      <c r="L51" s="358"/>
      <c r="M51" s="358"/>
      <c r="N51" s="358"/>
      <c r="O51" s="358"/>
      <c r="P51" s="304"/>
      <c r="Q51" s="304"/>
      <c r="R51" s="304"/>
      <c r="S51" s="304"/>
    </row>
    <row r="52" spans="3:19" x14ac:dyDescent="0.25">
      <c r="C52" s="338" t="s">
        <v>104</v>
      </c>
      <c r="D52" s="359" t="s">
        <v>767</v>
      </c>
      <c r="E52" s="359"/>
      <c r="F52" s="359"/>
      <c r="G52" s="359"/>
      <c r="H52" s="359"/>
      <c r="I52" s="359"/>
      <c r="J52" s="359"/>
      <c r="K52" s="359"/>
      <c r="L52" s="359"/>
      <c r="M52" s="359"/>
      <c r="N52" s="359"/>
      <c r="O52" s="359"/>
      <c r="P52" s="339"/>
      <c r="Q52" s="304"/>
      <c r="R52" s="304"/>
      <c r="S52" s="304"/>
    </row>
    <row r="53" spans="3:19" x14ac:dyDescent="0.25">
      <c r="C53" s="338" t="s">
        <v>104</v>
      </c>
      <c r="D53" s="359" t="s">
        <v>768</v>
      </c>
      <c r="E53" s="359"/>
      <c r="F53" s="359"/>
      <c r="G53" s="359"/>
      <c r="H53" s="359"/>
      <c r="I53" s="359"/>
      <c r="J53" s="359"/>
      <c r="K53" s="359"/>
      <c r="L53" s="359"/>
      <c r="M53" s="359"/>
      <c r="N53" s="359"/>
      <c r="O53" s="359"/>
      <c r="P53" s="339"/>
      <c r="Q53" s="304"/>
      <c r="R53" s="304"/>
      <c r="S53" s="304"/>
    </row>
    <row r="54" spans="3:19" x14ac:dyDescent="0.25">
      <c r="C54" s="338" t="s">
        <v>104</v>
      </c>
      <c r="D54" s="359" t="s">
        <v>769</v>
      </c>
      <c r="E54" s="359"/>
      <c r="F54" s="359"/>
      <c r="G54" s="359"/>
      <c r="H54" s="359"/>
      <c r="I54" s="359"/>
      <c r="J54" s="359"/>
      <c r="K54" s="359"/>
      <c r="L54" s="359"/>
      <c r="M54" s="359"/>
      <c r="N54" s="359"/>
      <c r="O54" s="359"/>
      <c r="P54" s="339"/>
      <c r="Q54" s="304"/>
      <c r="R54" s="304"/>
      <c r="S54" s="304"/>
    </row>
    <row r="55" spans="3:19" x14ac:dyDescent="0.25">
      <c r="C55" s="338" t="s">
        <v>104</v>
      </c>
      <c r="D55" s="359" t="s">
        <v>770</v>
      </c>
      <c r="E55" s="359"/>
      <c r="F55" s="359"/>
      <c r="G55" s="359"/>
      <c r="H55" s="359"/>
      <c r="I55" s="359"/>
      <c r="J55" s="359"/>
      <c r="K55" s="359"/>
      <c r="L55" s="359"/>
      <c r="M55" s="359"/>
      <c r="N55" s="359"/>
      <c r="O55" s="359"/>
      <c r="P55" s="339"/>
      <c r="Q55" s="304"/>
      <c r="R55" s="304"/>
      <c r="S55" s="304"/>
    </row>
    <row r="56" spans="3:19" x14ac:dyDescent="0.25">
      <c r="C56" s="338" t="s">
        <v>104</v>
      </c>
      <c r="D56" s="359" t="s">
        <v>771</v>
      </c>
      <c r="E56" s="359"/>
      <c r="F56" s="359"/>
      <c r="G56" s="359"/>
      <c r="H56" s="359"/>
      <c r="I56" s="359"/>
      <c r="J56" s="359"/>
      <c r="K56" s="359"/>
      <c r="L56" s="359"/>
      <c r="M56" s="359"/>
      <c r="N56" s="359"/>
      <c r="O56" s="359"/>
      <c r="P56" s="339"/>
      <c r="Q56" s="304"/>
      <c r="R56" s="304"/>
      <c r="S56" s="304"/>
    </row>
    <row r="57" spans="3:19" x14ac:dyDescent="0.25">
      <c r="C57" s="338" t="s">
        <v>104</v>
      </c>
      <c r="D57" s="359" t="s">
        <v>772</v>
      </c>
      <c r="E57" s="359"/>
      <c r="F57" s="359"/>
      <c r="G57" s="359"/>
      <c r="H57" s="359"/>
      <c r="I57" s="359"/>
      <c r="J57" s="359"/>
      <c r="K57" s="359"/>
      <c r="L57" s="359"/>
      <c r="M57" s="359"/>
      <c r="N57" s="359"/>
      <c r="O57" s="359"/>
      <c r="P57" s="339"/>
      <c r="Q57" s="304"/>
      <c r="R57" s="304"/>
      <c r="S57" s="304"/>
    </row>
    <row r="58" spans="3:19" x14ac:dyDescent="0.25">
      <c r="C58" s="338" t="s">
        <v>104</v>
      </c>
      <c r="D58" s="359" t="s">
        <v>773</v>
      </c>
      <c r="E58" s="359"/>
      <c r="F58" s="359"/>
      <c r="G58" s="359"/>
      <c r="H58" s="359"/>
      <c r="I58" s="359"/>
      <c r="J58" s="359"/>
      <c r="K58" s="359"/>
      <c r="L58" s="359"/>
      <c r="M58" s="359"/>
      <c r="N58" s="359"/>
      <c r="O58" s="359"/>
      <c r="P58" s="339"/>
      <c r="Q58" s="304"/>
      <c r="R58" s="304"/>
      <c r="S58" s="304"/>
    </row>
    <row r="59" spans="3:19" x14ac:dyDescent="0.25">
      <c r="C59" s="338" t="s">
        <v>104</v>
      </c>
      <c r="D59" s="359" t="s">
        <v>774</v>
      </c>
      <c r="E59" s="359"/>
      <c r="F59" s="359"/>
      <c r="G59" s="359"/>
      <c r="H59" s="359"/>
      <c r="I59" s="359"/>
      <c r="J59" s="359"/>
      <c r="K59" s="359"/>
      <c r="L59" s="359"/>
      <c r="M59" s="359"/>
      <c r="N59" s="359"/>
      <c r="O59" s="359"/>
      <c r="P59" s="339"/>
      <c r="Q59" s="304"/>
      <c r="R59" s="304"/>
      <c r="S59" s="304"/>
    </row>
    <row r="60" spans="3:19" x14ac:dyDescent="0.25">
      <c r="C60" s="338" t="s">
        <v>104</v>
      </c>
      <c r="D60" s="359" t="s">
        <v>775</v>
      </c>
      <c r="E60" s="359"/>
      <c r="F60" s="359"/>
      <c r="G60" s="359"/>
      <c r="H60" s="359"/>
      <c r="I60" s="359"/>
      <c r="J60" s="359"/>
      <c r="K60" s="359"/>
      <c r="L60" s="359"/>
      <c r="M60" s="359"/>
      <c r="N60" s="359"/>
      <c r="O60" s="359"/>
      <c r="P60" s="339"/>
      <c r="Q60" s="304"/>
      <c r="R60" s="304"/>
      <c r="S60" s="304"/>
    </row>
    <row r="61" spans="3:19" x14ac:dyDescent="0.25">
      <c r="C61" s="338" t="s">
        <v>104</v>
      </c>
      <c r="D61" s="359" t="s">
        <v>776</v>
      </c>
      <c r="E61" s="359"/>
      <c r="F61" s="359"/>
      <c r="G61" s="359"/>
      <c r="H61" s="359"/>
      <c r="I61" s="359"/>
      <c r="J61" s="359"/>
      <c r="K61" s="359"/>
      <c r="L61" s="359"/>
      <c r="M61" s="359"/>
      <c r="N61" s="359"/>
      <c r="O61" s="359"/>
      <c r="P61" s="339"/>
      <c r="Q61" s="304"/>
      <c r="R61" s="304"/>
      <c r="S61" s="304"/>
    </row>
    <row r="62" spans="3:19" x14ac:dyDescent="0.25">
      <c r="C62" s="338" t="s">
        <v>104</v>
      </c>
      <c r="D62" s="359" t="s">
        <v>777</v>
      </c>
      <c r="E62" s="359"/>
      <c r="F62" s="359"/>
      <c r="G62" s="359"/>
      <c r="H62" s="359"/>
      <c r="I62" s="359"/>
      <c r="J62" s="359"/>
      <c r="K62" s="359"/>
      <c r="L62" s="359"/>
      <c r="M62" s="359"/>
      <c r="N62" s="359"/>
      <c r="O62" s="359"/>
      <c r="P62" s="339"/>
      <c r="Q62" s="304"/>
      <c r="R62" s="304"/>
      <c r="S62" s="304"/>
    </row>
    <row r="63" spans="3:19" x14ac:dyDescent="0.25">
      <c r="C63" s="338" t="s">
        <v>104</v>
      </c>
      <c r="D63" s="359" t="s">
        <v>778</v>
      </c>
      <c r="E63" s="359"/>
      <c r="F63" s="359"/>
      <c r="G63" s="359"/>
      <c r="H63" s="359"/>
      <c r="I63" s="359"/>
      <c r="J63" s="359"/>
      <c r="K63" s="359"/>
      <c r="L63" s="359"/>
      <c r="M63" s="359"/>
      <c r="N63" s="359"/>
      <c r="O63" s="359"/>
      <c r="P63" s="339"/>
      <c r="Q63" s="304"/>
      <c r="R63" s="304"/>
      <c r="S63" s="304"/>
    </row>
    <row r="64" spans="3:19" x14ac:dyDescent="0.25">
      <c r="C64" s="338" t="s">
        <v>104</v>
      </c>
      <c r="D64" s="359" t="s">
        <v>779</v>
      </c>
      <c r="E64" s="359"/>
      <c r="F64" s="359"/>
      <c r="G64" s="359"/>
      <c r="H64" s="359"/>
      <c r="I64" s="359"/>
      <c r="J64" s="359"/>
      <c r="K64" s="359"/>
      <c r="L64" s="359"/>
      <c r="M64" s="359"/>
      <c r="N64" s="359"/>
      <c r="O64" s="359"/>
      <c r="P64" s="339"/>
      <c r="Q64" s="304"/>
      <c r="R64" s="304"/>
      <c r="S64" s="304"/>
    </row>
    <row r="65" spans="3:19" x14ac:dyDescent="0.25">
      <c r="C65" s="338" t="s">
        <v>104</v>
      </c>
      <c r="D65" s="359" t="s">
        <v>780</v>
      </c>
      <c r="E65" s="359"/>
      <c r="F65" s="359"/>
      <c r="G65" s="359"/>
      <c r="H65" s="359"/>
      <c r="I65" s="359"/>
      <c r="J65" s="359"/>
      <c r="K65" s="359"/>
      <c r="L65" s="359"/>
      <c r="M65" s="359"/>
      <c r="N65" s="359"/>
      <c r="O65" s="359"/>
      <c r="P65" s="339"/>
      <c r="Q65" s="304"/>
      <c r="R65" s="304"/>
      <c r="S65" s="304"/>
    </row>
    <row r="66" spans="3:19" x14ac:dyDescent="0.25">
      <c r="C66" s="338" t="s">
        <v>104</v>
      </c>
      <c r="D66" s="359" t="s">
        <v>781</v>
      </c>
      <c r="E66" s="359"/>
      <c r="F66" s="359"/>
      <c r="G66" s="359"/>
      <c r="H66" s="359"/>
      <c r="I66" s="359"/>
      <c r="J66" s="359"/>
      <c r="K66" s="359"/>
      <c r="L66" s="359"/>
      <c r="M66" s="359"/>
      <c r="N66" s="359"/>
      <c r="O66" s="359"/>
      <c r="P66" s="339"/>
      <c r="Q66" s="304"/>
      <c r="R66" s="304"/>
      <c r="S66" s="304"/>
    </row>
    <row r="67" spans="3:19" x14ac:dyDescent="0.25">
      <c r="C67" s="338" t="s">
        <v>104</v>
      </c>
      <c r="D67" s="359" t="s">
        <v>782</v>
      </c>
      <c r="E67" s="359"/>
      <c r="F67" s="359"/>
      <c r="G67" s="359"/>
      <c r="H67" s="359"/>
      <c r="I67" s="359"/>
      <c r="J67" s="359"/>
      <c r="K67" s="359"/>
      <c r="L67" s="359"/>
      <c r="M67" s="359"/>
      <c r="N67" s="359"/>
      <c r="O67" s="359"/>
      <c r="P67" s="339"/>
      <c r="Q67" s="304"/>
      <c r="R67" s="304"/>
      <c r="S67" s="304"/>
    </row>
    <row r="68" spans="3:19" x14ac:dyDescent="0.25">
      <c r="C68" s="338" t="s">
        <v>104</v>
      </c>
      <c r="D68" s="359" t="s">
        <v>783</v>
      </c>
      <c r="E68" s="359"/>
      <c r="F68" s="359"/>
      <c r="G68" s="359"/>
      <c r="H68" s="359"/>
      <c r="I68" s="359"/>
      <c r="J68" s="359"/>
      <c r="K68" s="359"/>
      <c r="L68" s="359"/>
      <c r="M68" s="359"/>
      <c r="N68" s="359"/>
      <c r="O68" s="359"/>
      <c r="P68" s="339"/>
      <c r="Q68" s="304"/>
      <c r="R68" s="304"/>
      <c r="S68" s="304"/>
    </row>
    <row r="69" spans="3:19" x14ac:dyDescent="0.25">
      <c r="C69" s="338" t="s">
        <v>104</v>
      </c>
      <c r="D69" s="359" t="s">
        <v>784</v>
      </c>
      <c r="E69" s="359"/>
      <c r="F69" s="359"/>
      <c r="G69" s="359"/>
      <c r="H69" s="359"/>
      <c r="I69" s="359"/>
      <c r="J69" s="359"/>
      <c r="K69" s="359"/>
      <c r="L69" s="359"/>
      <c r="M69" s="359"/>
      <c r="N69" s="359"/>
      <c r="O69" s="359"/>
      <c r="P69" s="339"/>
      <c r="Q69" s="304"/>
      <c r="R69" s="304"/>
      <c r="S69" s="304"/>
    </row>
    <row r="70" spans="3:19" x14ac:dyDescent="0.25">
      <c r="C70" s="338" t="s">
        <v>104</v>
      </c>
      <c r="D70" s="359" t="s">
        <v>785</v>
      </c>
      <c r="E70" s="359"/>
      <c r="F70" s="359"/>
      <c r="G70" s="359"/>
      <c r="H70" s="359"/>
      <c r="I70" s="359"/>
      <c r="J70" s="359"/>
      <c r="K70" s="359"/>
      <c r="L70" s="359"/>
      <c r="M70" s="359"/>
      <c r="N70" s="359"/>
      <c r="O70" s="359"/>
      <c r="P70" s="339"/>
      <c r="Q70" s="304"/>
      <c r="R70" s="304"/>
      <c r="S70" s="304"/>
    </row>
    <row r="71" spans="3:19" x14ac:dyDescent="0.25">
      <c r="C71" s="338" t="s">
        <v>104</v>
      </c>
      <c r="D71" s="359" t="s">
        <v>786</v>
      </c>
      <c r="E71" s="359"/>
      <c r="F71" s="359"/>
      <c r="G71" s="359"/>
      <c r="H71" s="359"/>
      <c r="I71" s="359"/>
      <c r="J71" s="359"/>
      <c r="K71" s="359"/>
      <c r="L71" s="359"/>
      <c r="M71" s="359"/>
      <c r="N71" s="359"/>
      <c r="O71" s="359"/>
      <c r="P71" s="339"/>
      <c r="Q71" s="304"/>
      <c r="R71" s="304"/>
      <c r="S71" s="304"/>
    </row>
    <row r="72" spans="3:19" x14ac:dyDescent="0.25">
      <c r="C72" s="338" t="s">
        <v>104</v>
      </c>
      <c r="D72" s="359" t="s">
        <v>787</v>
      </c>
      <c r="E72" s="359"/>
      <c r="F72" s="359"/>
      <c r="G72" s="359"/>
      <c r="H72" s="359"/>
      <c r="I72" s="359"/>
      <c r="J72" s="359"/>
      <c r="K72" s="359"/>
      <c r="L72" s="359"/>
      <c r="M72" s="359"/>
      <c r="N72" s="359"/>
      <c r="O72" s="359"/>
      <c r="P72" s="339"/>
      <c r="Q72" s="304"/>
      <c r="R72" s="304"/>
      <c r="S72" s="304"/>
    </row>
    <row r="73" spans="3:19" x14ac:dyDescent="0.25">
      <c r="C73" s="338" t="s">
        <v>104</v>
      </c>
      <c r="D73" s="359" t="s">
        <v>788</v>
      </c>
      <c r="E73" s="359"/>
      <c r="F73" s="359"/>
      <c r="G73" s="359"/>
      <c r="H73" s="359"/>
      <c r="I73" s="359"/>
      <c r="J73" s="359"/>
      <c r="K73" s="359"/>
      <c r="L73" s="359"/>
      <c r="M73" s="359"/>
      <c r="N73" s="359"/>
      <c r="O73" s="359"/>
      <c r="P73" s="339"/>
      <c r="Q73" s="304"/>
      <c r="R73" s="304"/>
      <c r="S73" s="304"/>
    </row>
    <row r="74" spans="3:19" x14ac:dyDescent="0.25">
      <c r="C74" s="338" t="s">
        <v>104</v>
      </c>
      <c r="D74" s="359" t="s">
        <v>789</v>
      </c>
      <c r="E74" s="359"/>
      <c r="F74" s="359"/>
      <c r="G74" s="359"/>
      <c r="H74" s="359"/>
      <c r="I74" s="359"/>
      <c r="J74" s="359"/>
      <c r="K74" s="359"/>
      <c r="L74" s="359"/>
      <c r="M74" s="359"/>
      <c r="N74" s="359"/>
      <c r="O74" s="359"/>
      <c r="P74" s="339"/>
      <c r="Q74" s="304"/>
      <c r="R74" s="304"/>
      <c r="S74" s="304"/>
    </row>
    <row r="75" spans="3:19" x14ac:dyDescent="0.25">
      <c r="C75" s="338" t="s">
        <v>104</v>
      </c>
      <c r="D75" s="359" t="s">
        <v>790</v>
      </c>
      <c r="E75" s="359"/>
      <c r="F75" s="359"/>
      <c r="G75" s="359"/>
      <c r="H75" s="359"/>
      <c r="I75" s="359"/>
      <c r="J75" s="359"/>
      <c r="K75" s="359"/>
      <c r="L75" s="359"/>
      <c r="M75" s="359"/>
      <c r="N75" s="359"/>
      <c r="O75" s="359"/>
      <c r="P75" s="339"/>
      <c r="Q75" s="304"/>
      <c r="R75" s="304"/>
      <c r="S75" s="304"/>
    </row>
    <row r="76" spans="3:19" x14ac:dyDescent="0.25">
      <c r="C76" s="338" t="s">
        <v>104</v>
      </c>
      <c r="D76" s="359" t="s">
        <v>791</v>
      </c>
      <c r="E76" s="359"/>
      <c r="F76" s="359"/>
      <c r="G76" s="359"/>
      <c r="H76" s="359"/>
      <c r="I76" s="359"/>
      <c r="J76" s="359"/>
      <c r="K76" s="359"/>
      <c r="L76" s="359"/>
      <c r="M76" s="359"/>
      <c r="N76" s="359"/>
      <c r="O76" s="359"/>
      <c r="P76" s="339"/>
      <c r="Q76" s="304"/>
      <c r="R76" s="304"/>
      <c r="S76" s="304"/>
    </row>
    <row r="77" spans="3:19" x14ac:dyDescent="0.25">
      <c r="C77" s="338" t="s">
        <v>104</v>
      </c>
      <c r="D77" s="359" t="s">
        <v>792</v>
      </c>
      <c r="E77" s="359"/>
      <c r="F77" s="359"/>
      <c r="G77" s="359"/>
      <c r="H77" s="359"/>
      <c r="I77" s="359"/>
      <c r="J77" s="359"/>
      <c r="K77" s="359"/>
      <c r="L77" s="359"/>
      <c r="M77" s="359"/>
      <c r="N77" s="359"/>
      <c r="O77" s="359"/>
      <c r="P77" s="339"/>
      <c r="Q77" s="304"/>
      <c r="R77" s="304"/>
      <c r="S77" s="304"/>
    </row>
    <row r="78" spans="3:19" x14ac:dyDescent="0.25">
      <c r="C78" s="338" t="s">
        <v>104</v>
      </c>
      <c r="D78" s="357" t="s">
        <v>104</v>
      </c>
      <c r="E78" s="357"/>
      <c r="F78" s="357"/>
      <c r="G78" s="357"/>
      <c r="H78" s="357"/>
      <c r="I78" s="357"/>
      <c r="J78" s="357"/>
      <c r="K78" s="357"/>
      <c r="L78" s="357"/>
      <c r="M78" s="357"/>
      <c r="N78" s="357"/>
      <c r="O78" s="357"/>
      <c r="P78" s="339"/>
      <c r="Q78" s="304"/>
      <c r="R78" s="304"/>
      <c r="S78" s="304"/>
    </row>
    <row r="79" spans="3:19" x14ac:dyDescent="0.25">
      <c r="C79" s="338" t="s">
        <v>104</v>
      </c>
      <c r="D79" s="357" t="s">
        <v>104</v>
      </c>
      <c r="E79" s="357"/>
      <c r="F79" s="357"/>
      <c r="G79" s="357"/>
      <c r="H79" s="357"/>
      <c r="I79" s="357"/>
      <c r="J79" s="357"/>
      <c r="K79" s="357"/>
      <c r="L79" s="357"/>
      <c r="M79" s="357"/>
      <c r="N79" s="357"/>
      <c r="O79" s="357"/>
      <c r="P79" s="339"/>
      <c r="Q79" s="304"/>
      <c r="R79" s="304"/>
      <c r="S79" s="304"/>
    </row>
    <row r="80" spans="3:19" x14ac:dyDescent="0.25">
      <c r="C80" s="358" t="s">
        <v>95</v>
      </c>
      <c r="D80" s="358" t="s">
        <v>104</v>
      </c>
      <c r="E80" s="358"/>
      <c r="F80" s="358"/>
      <c r="G80" s="358"/>
      <c r="H80" s="358"/>
      <c r="I80" s="358"/>
      <c r="J80" s="358"/>
      <c r="K80" s="358"/>
      <c r="L80" s="358"/>
      <c r="M80" s="358"/>
      <c r="N80" s="358"/>
      <c r="O80" s="358"/>
      <c r="P80" s="339"/>
      <c r="Q80" s="304"/>
      <c r="R80" s="304"/>
      <c r="S80" s="304"/>
    </row>
    <row r="81" spans="3:19" x14ac:dyDescent="0.25">
      <c r="C81" s="338" t="s">
        <v>793</v>
      </c>
      <c r="D81" s="357" t="s">
        <v>794</v>
      </c>
      <c r="E81" s="357"/>
      <c r="F81" s="357"/>
      <c r="G81" s="357"/>
      <c r="H81" s="357"/>
      <c r="I81" s="357"/>
      <c r="J81" s="357"/>
      <c r="K81" s="357"/>
      <c r="L81" s="357"/>
      <c r="M81" s="357"/>
      <c r="N81" s="357"/>
      <c r="O81" s="357"/>
      <c r="P81" s="339"/>
      <c r="Q81" s="304"/>
      <c r="R81" s="304"/>
      <c r="S81" s="304"/>
    </row>
    <row r="82" spans="3:19" x14ac:dyDescent="0.25">
      <c r="C82" s="338" t="s">
        <v>795</v>
      </c>
      <c r="D82" s="357" t="s">
        <v>796</v>
      </c>
      <c r="E82" s="357"/>
      <c r="F82" s="357"/>
      <c r="G82" s="357"/>
      <c r="H82" s="357"/>
      <c r="I82" s="357"/>
      <c r="J82" s="357"/>
      <c r="K82" s="357"/>
      <c r="L82" s="357"/>
      <c r="M82" s="357"/>
      <c r="N82" s="357"/>
      <c r="O82" s="357"/>
      <c r="P82" s="339"/>
      <c r="Q82" s="304"/>
      <c r="R82" s="304"/>
      <c r="S82" s="304"/>
    </row>
    <row r="83" spans="3:19" x14ac:dyDescent="0.25">
      <c r="C83" s="338" t="s">
        <v>797</v>
      </c>
      <c r="D83" s="357" t="s">
        <v>798</v>
      </c>
      <c r="E83" s="357"/>
      <c r="F83" s="357"/>
      <c r="G83" s="357"/>
      <c r="H83" s="357"/>
      <c r="I83" s="357"/>
      <c r="J83" s="357"/>
      <c r="K83" s="357"/>
      <c r="L83" s="357"/>
      <c r="M83" s="357"/>
      <c r="N83" s="357"/>
      <c r="O83" s="357"/>
      <c r="P83" s="339"/>
      <c r="Q83" s="304"/>
      <c r="R83" s="304"/>
      <c r="S83" s="304"/>
    </row>
    <row r="84" spans="3:19" x14ac:dyDescent="0.25">
      <c r="C84" s="338" t="s">
        <v>799</v>
      </c>
      <c r="D84" s="357" t="s">
        <v>800</v>
      </c>
      <c r="E84" s="357"/>
      <c r="F84" s="357"/>
      <c r="G84" s="357"/>
      <c r="H84" s="357"/>
      <c r="I84" s="357"/>
      <c r="J84" s="357"/>
      <c r="K84" s="357"/>
      <c r="L84" s="357"/>
      <c r="M84" s="357"/>
      <c r="N84" s="357"/>
      <c r="O84" s="357"/>
      <c r="P84" s="339"/>
      <c r="Q84" s="304"/>
      <c r="R84" s="304"/>
      <c r="S84" s="304"/>
    </row>
    <row r="85" spans="3:19" x14ac:dyDescent="0.25">
      <c r="C85" s="338" t="s">
        <v>819</v>
      </c>
      <c r="D85" s="357" t="s">
        <v>820</v>
      </c>
      <c r="E85" s="357"/>
      <c r="F85" s="357"/>
      <c r="G85" s="357"/>
      <c r="H85" s="357"/>
      <c r="I85" s="357"/>
      <c r="J85" s="357"/>
      <c r="K85" s="357"/>
      <c r="L85" s="357"/>
      <c r="M85" s="357"/>
      <c r="N85" s="357"/>
      <c r="O85" s="357"/>
      <c r="P85" s="339"/>
      <c r="Q85" s="304"/>
      <c r="R85" s="304"/>
      <c r="S85" s="304"/>
    </row>
    <row r="86" spans="3:19" x14ac:dyDescent="0.25">
      <c r="C86" s="338" t="s">
        <v>803</v>
      </c>
      <c r="D86" s="357" t="s">
        <v>804</v>
      </c>
      <c r="E86" s="357"/>
      <c r="F86" s="357"/>
      <c r="G86" s="357"/>
      <c r="H86" s="357"/>
      <c r="I86" s="357"/>
      <c r="J86" s="357"/>
      <c r="K86" s="357"/>
      <c r="L86" s="357"/>
      <c r="M86" s="357"/>
      <c r="N86" s="357"/>
      <c r="O86" s="357"/>
      <c r="P86" s="339"/>
      <c r="Q86" s="304"/>
      <c r="R86" s="304"/>
      <c r="S86" s="304"/>
    </row>
    <row r="87" spans="3:19" x14ac:dyDescent="0.25">
      <c r="C87" s="338" t="s">
        <v>805</v>
      </c>
      <c r="D87" s="357" t="s">
        <v>806</v>
      </c>
      <c r="E87" s="357"/>
      <c r="F87" s="357"/>
      <c r="G87" s="357"/>
      <c r="H87" s="357"/>
      <c r="I87" s="357"/>
      <c r="J87" s="357"/>
      <c r="K87" s="357"/>
      <c r="L87" s="357"/>
      <c r="M87" s="357"/>
      <c r="N87" s="357"/>
      <c r="O87" s="357"/>
      <c r="P87" s="339"/>
      <c r="Q87" s="304"/>
      <c r="R87" s="304"/>
      <c r="S87" s="304"/>
    </row>
    <row r="88" spans="3:19" x14ac:dyDescent="0.25">
      <c r="C88" s="338" t="s">
        <v>741</v>
      </c>
      <c r="D88" s="357" t="s">
        <v>807</v>
      </c>
      <c r="E88" s="357"/>
      <c r="F88" s="357"/>
      <c r="G88" s="357"/>
      <c r="H88" s="357"/>
      <c r="I88" s="357"/>
      <c r="J88" s="357"/>
      <c r="K88" s="357"/>
      <c r="L88" s="357"/>
      <c r="M88" s="357"/>
      <c r="N88" s="357"/>
      <c r="O88" s="357"/>
      <c r="P88" s="339"/>
      <c r="Q88" s="304"/>
      <c r="R88" s="304"/>
      <c r="S88" s="304"/>
    </row>
    <row r="89" spans="3:19" x14ac:dyDescent="0.25">
      <c r="C89" s="338" t="s">
        <v>821</v>
      </c>
      <c r="D89" s="357" t="s">
        <v>809</v>
      </c>
      <c r="E89" s="357"/>
      <c r="F89" s="357"/>
      <c r="G89" s="357"/>
      <c r="H89" s="357"/>
      <c r="I89" s="357"/>
      <c r="J89" s="357"/>
      <c r="K89" s="357"/>
      <c r="L89" s="357"/>
      <c r="M89" s="357"/>
      <c r="N89" s="357"/>
      <c r="O89" s="357"/>
      <c r="P89" s="339"/>
      <c r="Q89" s="304"/>
      <c r="R89" s="304"/>
      <c r="S89" s="304"/>
    </row>
    <row r="90" spans="3:19" x14ac:dyDescent="0.25">
      <c r="C90" s="304" t="s">
        <v>810</v>
      </c>
      <c r="D90" s="357" t="s">
        <v>811</v>
      </c>
      <c r="E90" s="357"/>
      <c r="F90" s="357"/>
      <c r="G90" s="357"/>
      <c r="H90" s="357"/>
      <c r="I90" s="357"/>
      <c r="J90" s="357"/>
      <c r="K90" s="357"/>
      <c r="L90" s="357"/>
      <c r="M90" s="357"/>
      <c r="N90" s="357"/>
      <c r="O90" s="357"/>
      <c r="P90" s="304"/>
      <c r="Q90" s="304"/>
      <c r="R90" s="304"/>
      <c r="S90" s="304"/>
    </row>
    <row r="91" spans="3:19" x14ac:dyDescent="0.25">
      <c r="C91" s="304" t="s">
        <v>812</v>
      </c>
      <c r="D91" s="357" t="s">
        <v>813</v>
      </c>
      <c r="E91" s="357"/>
      <c r="F91" s="357"/>
      <c r="G91" s="357"/>
      <c r="H91" s="357"/>
      <c r="I91" s="357"/>
      <c r="J91" s="357"/>
      <c r="K91" s="357"/>
      <c r="L91" s="357"/>
      <c r="M91" s="357"/>
      <c r="N91" s="357"/>
      <c r="O91" s="357"/>
      <c r="P91" s="304"/>
      <c r="Q91" s="304"/>
      <c r="R91" s="304"/>
      <c r="S91" s="304"/>
    </row>
    <row r="92" spans="3:19" x14ac:dyDescent="0.25">
      <c r="C92" s="304" t="s">
        <v>814</v>
      </c>
      <c r="D92" s="357" t="s">
        <v>815</v>
      </c>
      <c r="E92" s="357"/>
      <c r="F92" s="357"/>
      <c r="G92" s="357"/>
      <c r="H92" s="357"/>
      <c r="I92" s="357"/>
      <c r="J92" s="357"/>
      <c r="K92" s="357"/>
      <c r="L92" s="357"/>
      <c r="M92" s="357"/>
      <c r="N92" s="357"/>
      <c r="O92" s="357"/>
      <c r="P92" s="304"/>
      <c r="Q92" s="304"/>
      <c r="R92" s="304"/>
      <c r="S92" s="304"/>
    </row>
    <row r="93" spans="3:19" x14ac:dyDescent="0.25">
      <c r="C93" s="304" t="s">
        <v>104</v>
      </c>
      <c r="D93" s="357"/>
      <c r="E93" s="357"/>
      <c r="F93" s="357"/>
      <c r="G93" s="357"/>
      <c r="H93" s="357"/>
      <c r="I93" s="357"/>
      <c r="J93" s="357"/>
      <c r="K93" s="357"/>
      <c r="L93" s="357"/>
      <c r="M93" s="357"/>
      <c r="N93" s="357"/>
      <c r="O93" s="357"/>
      <c r="P93" s="304"/>
      <c r="Q93" s="304"/>
      <c r="R93" s="304"/>
      <c r="S93" s="304"/>
    </row>
    <row r="94" spans="3:19" x14ac:dyDescent="0.25">
      <c r="C94" s="304"/>
      <c r="D94" s="357"/>
      <c r="E94" s="357"/>
      <c r="F94" s="357"/>
      <c r="G94" s="357"/>
      <c r="H94" s="357"/>
      <c r="I94" s="357"/>
      <c r="J94" s="357"/>
      <c r="K94" s="357"/>
      <c r="L94" s="357"/>
      <c r="M94" s="357"/>
      <c r="N94" s="357"/>
      <c r="O94" s="357"/>
      <c r="P94" s="304"/>
      <c r="Q94" s="304"/>
      <c r="R94" s="304"/>
      <c r="S94" s="304"/>
    </row>
    <row r="95" spans="3:19" x14ac:dyDescent="0.25">
      <c r="C95" s="304"/>
      <c r="D95" s="357"/>
      <c r="E95" s="357"/>
      <c r="F95" s="357"/>
      <c r="G95" s="357"/>
      <c r="H95" s="357"/>
      <c r="I95" s="357"/>
      <c r="J95" s="357"/>
      <c r="K95" s="357"/>
      <c r="L95" s="357"/>
      <c r="M95" s="357"/>
      <c r="N95" s="357"/>
      <c r="O95" s="357"/>
      <c r="P95" s="304"/>
      <c r="Q95" s="304"/>
      <c r="R95" s="304"/>
      <c r="S95" s="304"/>
    </row>
    <row r="96" spans="3:19" x14ac:dyDescent="0.25">
      <c r="C96" s="304"/>
      <c r="D96" s="357"/>
      <c r="E96" s="357"/>
      <c r="F96" s="357"/>
      <c r="G96" s="357"/>
      <c r="H96" s="357"/>
      <c r="I96" s="357"/>
      <c r="J96" s="357"/>
      <c r="K96" s="357"/>
      <c r="L96" s="357"/>
      <c r="M96" s="357"/>
      <c r="N96" s="357"/>
      <c r="O96" s="357"/>
      <c r="P96" s="304"/>
      <c r="Q96" s="304"/>
      <c r="R96" s="304"/>
      <c r="S96" s="304"/>
    </row>
  </sheetData>
  <mergeCells count="47">
    <mergeCell ref="E1:L1"/>
    <mergeCell ref="C51:O51"/>
    <mergeCell ref="D52:O52"/>
    <mergeCell ref="D53:O53"/>
    <mergeCell ref="D54:O54"/>
    <mergeCell ref="D55:O55"/>
    <mergeCell ref="D56:O56"/>
    <mergeCell ref="D57:O57"/>
    <mergeCell ref="D58:O58"/>
    <mergeCell ref="D59:O59"/>
    <mergeCell ref="D60:O60"/>
    <mergeCell ref="D61:O61"/>
    <mergeCell ref="D62:O62"/>
    <mergeCell ref="D63:O63"/>
    <mergeCell ref="D64:O64"/>
    <mergeCell ref="D65:O65"/>
    <mergeCell ref="D66:O66"/>
    <mergeCell ref="D67:O67"/>
    <mergeCell ref="D68:O68"/>
    <mergeCell ref="D69:O69"/>
    <mergeCell ref="D70:O70"/>
    <mergeCell ref="D71:O71"/>
    <mergeCell ref="D72:O72"/>
    <mergeCell ref="D73:O73"/>
    <mergeCell ref="D74:O74"/>
    <mergeCell ref="D75:O75"/>
    <mergeCell ref="D76:O76"/>
    <mergeCell ref="D77:O77"/>
    <mergeCell ref="D78:O78"/>
    <mergeCell ref="D79:O79"/>
    <mergeCell ref="C80:O80"/>
    <mergeCell ref="D81:O81"/>
    <mergeCell ref="D82:O82"/>
    <mergeCell ref="D83:O83"/>
    <mergeCell ref="D84:O84"/>
    <mergeCell ref="D85:O85"/>
    <mergeCell ref="D86:O86"/>
    <mergeCell ref="D87:O87"/>
    <mergeCell ref="D88:O88"/>
    <mergeCell ref="D89:O89"/>
    <mergeCell ref="D95:O95"/>
    <mergeCell ref="D96:O96"/>
    <mergeCell ref="D90:O90"/>
    <mergeCell ref="D91:O91"/>
    <mergeCell ref="D92:O92"/>
    <mergeCell ref="D93:O93"/>
    <mergeCell ref="D94:O9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zoomScale="57" workbookViewId="0">
      <selection activeCell="B17" sqref="B17"/>
    </sheetView>
  </sheetViews>
  <sheetFormatPr defaultRowHeight="13.2" x14ac:dyDescent="0.25"/>
  <cols>
    <col min="2" max="2" width="37.33203125" bestFit="1" customWidth="1"/>
  </cols>
  <sheetData>
    <row r="1" spans="1:16" x14ac:dyDescent="0.25">
      <c r="A1" s="80" t="s">
        <v>71</v>
      </c>
      <c r="B1" s="303"/>
      <c r="C1" s="360"/>
      <c r="D1" s="361"/>
      <c r="E1" s="361"/>
      <c r="F1" s="361"/>
      <c r="G1" s="361"/>
      <c r="H1" s="361"/>
      <c r="I1" s="361"/>
      <c r="J1" s="361"/>
      <c r="K1" s="303"/>
      <c r="L1" s="303"/>
      <c r="M1" s="303"/>
      <c r="N1" s="304"/>
      <c r="O1" s="304"/>
      <c r="P1" s="305"/>
    </row>
    <row r="2" spans="1:16" ht="13.2" customHeight="1" x14ac:dyDescent="0.25">
      <c r="A2" s="81" t="s">
        <v>206</v>
      </c>
      <c r="B2" s="81"/>
      <c r="C2" s="306">
        <v>2025</v>
      </c>
      <c r="D2" s="306">
        <v>2030</v>
      </c>
      <c r="E2" s="306">
        <v>2040</v>
      </c>
      <c r="F2" s="306">
        <v>2050</v>
      </c>
      <c r="G2" s="306">
        <v>2020</v>
      </c>
      <c r="H2" s="306">
        <v>2020</v>
      </c>
      <c r="I2" s="306">
        <v>2050</v>
      </c>
      <c r="J2" s="306">
        <v>2050</v>
      </c>
      <c r="K2" s="340" t="s">
        <v>72</v>
      </c>
      <c r="L2" s="340" t="s">
        <v>699</v>
      </c>
      <c r="M2" s="340" t="s">
        <v>73</v>
      </c>
      <c r="N2" s="304"/>
      <c r="O2" s="304"/>
      <c r="P2" s="308"/>
    </row>
    <row r="3" spans="1:16" ht="13.2" customHeight="1" thickBot="1" x14ac:dyDescent="0.3">
      <c r="A3" s="85" t="s">
        <v>207</v>
      </c>
      <c r="B3" s="310"/>
      <c r="C3" s="86" t="s">
        <v>208</v>
      </c>
      <c r="D3" s="86" t="s">
        <v>208</v>
      </c>
      <c r="E3" s="86" t="s">
        <v>208</v>
      </c>
      <c r="F3" s="86" t="s">
        <v>208</v>
      </c>
      <c r="G3" s="311" t="s">
        <v>75</v>
      </c>
      <c r="H3" s="311" t="s">
        <v>76</v>
      </c>
      <c r="I3" s="311" t="s">
        <v>75</v>
      </c>
      <c r="J3" s="311" t="s">
        <v>76</v>
      </c>
      <c r="K3" s="311"/>
      <c r="L3" s="312"/>
      <c r="M3" s="312"/>
      <c r="N3" s="304"/>
      <c r="O3" s="304"/>
      <c r="P3" s="165"/>
    </row>
    <row r="4" spans="1:16" x14ac:dyDescent="0.25">
      <c r="A4" s="313" t="s">
        <v>211</v>
      </c>
      <c r="B4" s="313" t="s">
        <v>212</v>
      </c>
      <c r="C4" s="314"/>
      <c r="D4" s="315"/>
      <c r="E4" s="315"/>
      <c r="F4" s="315"/>
      <c r="G4" s="315"/>
      <c r="H4" s="315"/>
      <c r="I4" s="315"/>
      <c r="J4" s="315"/>
      <c r="K4" s="316" t="s">
        <v>104</v>
      </c>
      <c r="L4" s="317" t="s">
        <v>104</v>
      </c>
      <c r="M4" s="317" t="s">
        <v>104</v>
      </c>
      <c r="N4" s="304"/>
      <c r="O4" s="304"/>
      <c r="P4" s="304"/>
    </row>
    <row r="5" spans="1:16" x14ac:dyDescent="0.25">
      <c r="A5" s="318" t="s">
        <v>74</v>
      </c>
      <c r="B5" s="318"/>
      <c r="C5" s="315"/>
      <c r="D5" s="315"/>
      <c r="E5" s="315"/>
      <c r="F5" s="315"/>
      <c r="G5" s="315"/>
      <c r="H5" s="315"/>
      <c r="I5" s="315"/>
      <c r="J5" s="315"/>
      <c r="K5" s="316" t="s">
        <v>104</v>
      </c>
      <c r="L5" s="317" t="s">
        <v>104</v>
      </c>
      <c r="M5" s="317" t="s">
        <v>104</v>
      </c>
      <c r="N5" s="304"/>
      <c r="O5" s="304"/>
      <c r="P5" s="304"/>
    </row>
    <row r="6" spans="1:16" x14ac:dyDescent="0.25">
      <c r="A6" s="318"/>
      <c r="B6" s="319" t="s">
        <v>822</v>
      </c>
      <c r="C6" s="345">
        <v>100</v>
      </c>
      <c r="D6" s="345">
        <v>100</v>
      </c>
      <c r="E6" s="345">
        <v>100</v>
      </c>
      <c r="F6" s="345">
        <v>100</v>
      </c>
      <c r="G6" s="345">
        <v>100</v>
      </c>
      <c r="H6" s="345">
        <v>100</v>
      </c>
      <c r="I6" s="345">
        <v>100</v>
      </c>
      <c r="J6" s="345">
        <v>100</v>
      </c>
      <c r="K6" s="346" t="s">
        <v>104</v>
      </c>
      <c r="L6" s="346" t="s">
        <v>104</v>
      </c>
      <c r="M6" s="346" t="s">
        <v>104</v>
      </c>
      <c r="N6" s="304"/>
      <c r="O6" s="304"/>
      <c r="P6" s="304"/>
    </row>
    <row r="7" spans="1:16" x14ac:dyDescent="0.25">
      <c r="A7" s="318"/>
      <c r="B7" s="319" t="s">
        <v>701</v>
      </c>
      <c r="C7" s="322">
        <f t="shared" ref="C7:J7" si="0">(1/C10)*C6*1000*24</f>
        <v>60855.784469096667</v>
      </c>
      <c r="D7" s="322">
        <f t="shared" si="0"/>
        <v>63123.807691691123</v>
      </c>
      <c r="E7" s="322">
        <f t="shared" si="0"/>
        <v>64116.264159008402</v>
      </c>
      <c r="F7" s="322">
        <f t="shared" si="0"/>
        <v>66127.701699389538</v>
      </c>
      <c r="G7" s="322">
        <f t="shared" si="0"/>
        <v>64789.778359248601</v>
      </c>
      <c r="H7" s="322">
        <f t="shared" si="0"/>
        <v>54837.616456350937</v>
      </c>
      <c r="I7" s="322">
        <f t="shared" si="0"/>
        <v>71164.885633495956</v>
      </c>
      <c r="J7" s="322">
        <f t="shared" si="0"/>
        <v>61756.463510063979</v>
      </c>
      <c r="K7" s="346" t="s">
        <v>702</v>
      </c>
      <c r="L7" s="346" t="s">
        <v>104</v>
      </c>
      <c r="M7" s="346" t="s">
        <v>104</v>
      </c>
      <c r="N7" s="304"/>
      <c r="O7" s="304"/>
      <c r="P7" s="304"/>
    </row>
    <row r="8" spans="1:16" x14ac:dyDescent="0.25">
      <c r="A8" s="318"/>
      <c r="B8" s="323" t="s">
        <v>106</v>
      </c>
      <c r="C8" s="345" t="s">
        <v>104</v>
      </c>
      <c r="D8" s="345" t="s">
        <v>104</v>
      </c>
      <c r="E8" s="345" t="s">
        <v>104</v>
      </c>
      <c r="F8" s="345" t="s">
        <v>104</v>
      </c>
      <c r="G8" s="345" t="s">
        <v>104</v>
      </c>
      <c r="H8" s="345" t="s">
        <v>104</v>
      </c>
      <c r="I8" s="345" t="s">
        <v>104</v>
      </c>
      <c r="J8" s="345" t="s">
        <v>104</v>
      </c>
      <c r="K8" s="346" t="s">
        <v>104</v>
      </c>
      <c r="L8" s="346" t="s">
        <v>104</v>
      </c>
      <c r="M8" s="346" t="s">
        <v>104</v>
      </c>
      <c r="N8" s="304"/>
      <c r="O8" s="304"/>
      <c r="P8" s="304"/>
    </row>
    <row r="9" spans="1:16" x14ac:dyDescent="0.25">
      <c r="A9" s="318"/>
      <c r="B9" s="319" t="s">
        <v>703</v>
      </c>
      <c r="C9" s="347">
        <v>79.5</v>
      </c>
      <c r="D9" s="347">
        <v>80.5</v>
      </c>
      <c r="E9" s="347">
        <v>81.400000000000006</v>
      </c>
      <c r="F9" s="347">
        <v>81.400000000000006</v>
      </c>
      <c r="G9" s="347">
        <v>79</v>
      </c>
      <c r="H9" s="347">
        <v>82</v>
      </c>
      <c r="I9" s="347">
        <v>81</v>
      </c>
      <c r="J9" s="347">
        <v>83</v>
      </c>
      <c r="K9" s="346" t="s">
        <v>79</v>
      </c>
      <c r="L9" s="346" t="s">
        <v>104</v>
      </c>
      <c r="M9" s="346" t="s">
        <v>104</v>
      </c>
      <c r="N9" s="304"/>
      <c r="O9" s="304"/>
      <c r="P9" s="304"/>
    </row>
    <row r="10" spans="1:16" x14ac:dyDescent="0.25">
      <c r="A10" s="318"/>
      <c r="B10" s="319" t="s">
        <v>704</v>
      </c>
      <c r="C10" s="347">
        <v>39.4375</v>
      </c>
      <c r="D10" s="347">
        <v>38.020520113774886</v>
      </c>
      <c r="E10" s="347">
        <v>37.43199999999996</v>
      </c>
      <c r="F10" s="347">
        <v>36.293413173652695</v>
      </c>
      <c r="G10" s="347">
        <v>37.042880231699471</v>
      </c>
      <c r="H10" s="347">
        <v>43.765578358248419</v>
      </c>
      <c r="I10" s="347">
        <v>33.724497392719279</v>
      </c>
      <c r="J10" s="347">
        <v>38.862328954586111</v>
      </c>
      <c r="K10" s="346" t="s">
        <v>705</v>
      </c>
      <c r="L10" s="346" t="s">
        <v>823</v>
      </c>
      <c r="M10" s="346" t="s">
        <v>721</v>
      </c>
      <c r="N10" s="304"/>
      <c r="O10" s="304"/>
      <c r="P10" s="304"/>
    </row>
    <row r="11" spans="1:16" x14ac:dyDescent="0.25">
      <c r="A11" s="318"/>
      <c r="B11" s="319" t="s">
        <v>708</v>
      </c>
      <c r="C11" s="347">
        <v>43.414390756302524</v>
      </c>
      <c r="D11" s="347">
        <v>41.854522142054712</v>
      </c>
      <c r="E11" s="347">
        <v>41.206655462184834</v>
      </c>
      <c r="F11" s="347">
        <v>39.953253157550449</v>
      </c>
      <c r="G11" s="347">
        <v>40.778296725652361</v>
      </c>
      <c r="H11" s="347">
        <v>48.178913991012969</v>
      </c>
      <c r="I11" s="347">
        <v>37.125287045766605</v>
      </c>
      <c r="J11" s="347">
        <v>42.781219269334294</v>
      </c>
      <c r="K11" s="346" t="s">
        <v>58</v>
      </c>
      <c r="L11" s="346" t="s">
        <v>823</v>
      </c>
      <c r="M11" s="346" t="s">
        <v>721</v>
      </c>
      <c r="N11" s="304"/>
      <c r="O11" s="304"/>
      <c r="P11" s="304"/>
    </row>
    <row r="12" spans="1:16" x14ac:dyDescent="0.25">
      <c r="A12" s="318"/>
      <c r="B12" s="319" t="s">
        <v>824</v>
      </c>
      <c r="C12" s="326">
        <f>100-C9</f>
        <v>20.5</v>
      </c>
      <c r="D12" s="326">
        <f t="shared" ref="D12:J12" si="1">100-D9</f>
        <v>19.5</v>
      </c>
      <c r="E12" s="326">
        <f t="shared" si="1"/>
        <v>18.599999999999994</v>
      </c>
      <c r="F12" s="326">
        <f t="shared" si="1"/>
        <v>18.599999999999994</v>
      </c>
      <c r="G12" s="326">
        <f t="shared" si="1"/>
        <v>21</v>
      </c>
      <c r="H12" s="326">
        <f t="shared" si="1"/>
        <v>18</v>
      </c>
      <c r="I12" s="326">
        <f t="shared" si="1"/>
        <v>19</v>
      </c>
      <c r="J12" s="326">
        <f t="shared" si="1"/>
        <v>17</v>
      </c>
      <c r="K12" s="346" t="s">
        <v>104</v>
      </c>
      <c r="L12" s="346" t="s">
        <v>104</v>
      </c>
      <c r="M12" s="346" t="s">
        <v>104</v>
      </c>
      <c r="N12" s="304"/>
      <c r="O12" s="304"/>
      <c r="P12" s="304"/>
    </row>
    <row r="13" spans="1:16" x14ac:dyDescent="0.25">
      <c r="A13" s="318"/>
      <c r="B13" s="323" t="s">
        <v>825</v>
      </c>
      <c r="C13" s="322">
        <f>C18+(C18*8)</f>
        <v>228.20919175911249</v>
      </c>
      <c r="D13" s="322">
        <f t="shared" ref="D13:J13" si="2">D18+(D18*8)</f>
        <v>236.71427884384167</v>
      </c>
      <c r="E13" s="322">
        <f t="shared" si="2"/>
        <v>240.4359905962815</v>
      </c>
      <c r="F13" s="322">
        <f t="shared" si="2"/>
        <v>247.97888137271076</v>
      </c>
      <c r="G13" s="322">
        <f t="shared" si="2"/>
        <v>242.96166884718227</v>
      </c>
      <c r="H13" s="322">
        <f t="shared" si="2"/>
        <v>205.64106171131598</v>
      </c>
      <c r="I13" s="322">
        <f t="shared" si="2"/>
        <v>266.86832112560984</v>
      </c>
      <c r="J13" s="322">
        <f t="shared" si="2"/>
        <v>231.58673816273989</v>
      </c>
      <c r="K13" s="346" t="s">
        <v>104</v>
      </c>
      <c r="L13" s="346" t="s">
        <v>104</v>
      </c>
      <c r="M13" s="346" t="s">
        <v>104</v>
      </c>
      <c r="N13" s="304"/>
      <c r="O13" s="304"/>
      <c r="P13" s="304"/>
    </row>
    <row r="14" spans="1:16" x14ac:dyDescent="0.25">
      <c r="A14" s="318"/>
      <c r="B14" s="319" t="s">
        <v>107</v>
      </c>
      <c r="C14" s="322"/>
      <c r="D14" s="322"/>
      <c r="E14" s="322"/>
      <c r="F14" s="322"/>
      <c r="G14" s="322"/>
      <c r="H14" s="322"/>
      <c r="I14" s="322"/>
      <c r="J14" s="322"/>
      <c r="K14" s="346" t="s">
        <v>104</v>
      </c>
      <c r="L14" s="346" t="s">
        <v>104</v>
      </c>
      <c r="M14" s="346" t="s">
        <v>104</v>
      </c>
      <c r="N14" s="304"/>
      <c r="O14" s="304"/>
      <c r="P14" s="304"/>
    </row>
    <row r="15" spans="1:16" x14ac:dyDescent="0.25">
      <c r="A15" s="318"/>
      <c r="B15" s="319" t="s">
        <v>826</v>
      </c>
      <c r="C15" s="326">
        <f t="shared" ref="C15:J15" si="3">33.3/(C11+6)*100</f>
        <v>67.389275654992815</v>
      </c>
      <c r="D15" s="326">
        <f t="shared" si="3"/>
        <v>69.585900160385989</v>
      </c>
      <c r="E15" s="326">
        <f t="shared" si="3"/>
        <v>70.540900798776477</v>
      </c>
      <c r="F15" s="326">
        <f t="shared" si="3"/>
        <v>72.464945813153093</v>
      </c>
      <c r="G15" s="326">
        <f t="shared" si="3"/>
        <v>71.186858716339046</v>
      </c>
      <c r="H15" s="326">
        <f t="shared" si="3"/>
        <v>61.463026013263566</v>
      </c>
      <c r="I15" s="326">
        <f t="shared" si="3"/>
        <v>77.216877338486938</v>
      </c>
      <c r="J15" s="326">
        <f t="shared" si="3"/>
        <v>68.263976380216533</v>
      </c>
      <c r="K15" s="346" t="s">
        <v>84</v>
      </c>
      <c r="L15" s="346" t="s">
        <v>104</v>
      </c>
      <c r="M15" s="346" t="s">
        <v>104</v>
      </c>
      <c r="N15" s="304"/>
      <c r="O15" s="304"/>
      <c r="P15" s="304"/>
    </row>
    <row r="16" spans="1:16" x14ac:dyDescent="0.25">
      <c r="A16" s="318"/>
      <c r="B16" s="319" t="s">
        <v>827</v>
      </c>
      <c r="C16" s="326">
        <f t="shared" ref="C16:J16" si="4">(C18*39.4/1000*100)-(33.3/C10)*100</f>
        <v>15.467511885895391</v>
      </c>
      <c r="D16" s="326">
        <f t="shared" si="4"/>
        <v>16.04396778830484</v>
      </c>
      <c r="E16" s="326">
        <f t="shared" si="4"/>
        <v>16.296217140414626</v>
      </c>
      <c r="F16" s="326">
        <f t="shared" si="4"/>
        <v>16.807457515261504</v>
      </c>
      <c r="G16" s="326">
        <f t="shared" si="4"/>
        <v>16.467401999642377</v>
      </c>
      <c r="H16" s="326">
        <f t="shared" si="4"/>
        <v>13.937894182655853</v>
      </c>
      <c r="I16" s="326">
        <f t="shared" si="4"/>
        <v>18.08774176518024</v>
      </c>
      <c r="J16" s="326">
        <f t="shared" si="4"/>
        <v>15.696434475474604</v>
      </c>
      <c r="K16" s="346" t="s">
        <v>712</v>
      </c>
      <c r="L16" s="346" t="s">
        <v>104</v>
      </c>
      <c r="M16" s="346" t="s">
        <v>104</v>
      </c>
      <c r="N16" s="304"/>
      <c r="O16" s="304"/>
      <c r="P16" s="304"/>
    </row>
    <row r="17" spans="1:16" x14ac:dyDescent="0.25">
      <c r="A17" s="318"/>
      <c r="B17" s="319" t="s">
        <v>828</v>
      </c>
      <c r="C17" s="326">
        <f t="shared" ref="C17:J17" si="5">100-C15-C16</f>
        <v>17.143212459111794</v>
      </c>
      <c r="D17" s="326">
        <f t="shared" si="5"/>
        <v>14.37013205130917</v>
      </c>
      <c r="E17" s="326">
        <f t="shared" si="5"/>
        <v>13.162882060808897</v>
      </c>
      <c r="F17" s="326">
        <f t="shared" si="5"/>
        <v>10.727596671585403</v>
      </c>
      <c r="G17" s="326">
        <f t="shared" si="5"/>
        <v>12.345739284018578</v>
      </c>
      <c r="H17" s="326">
        <f t="shared" si="5"/>
        <v>24.599079804080581</v>
      </c>
      <c r="I17" s="326">
        <f t="shared" si="5"/>
        <v>4.6953808963328214</v>
      </c>
      <c r="J17" s="326">
        <f t="shared" si="5"/>
        <v>16.039589144308863</v>
      </c>
      <c r="K17" s="346" t="s">
        <v>104</v>
      </c>
      <c r="L17" s="346" t="s">
        <v>104</v>
      </c>
      <c r="M17" s="346" t="s">
        <v>104</v>
      </c>
      <c r="N17" s="304"/>
      <c r="O17" s="304"/>
      <c r="P17" s="304"/>
    </row>
    <row r="18" spans="1:16" x14ac:dyDescent="0.25">
      <c r="A18" s="318"/>
      <c r="B18" s="319" t="s">
        <v>829</v>
      </c>
      <c r="C18" s="326">
        <f t="shared" ref="C18:I18" si="6">(C7/24)/C6</f>
        <v>25.35657686212361</v>
      </c>
      <c r="D18" s="326">
        <f t="shared" si="6"/>
        <v>26.301586538204631</v>
      </c>
      <c r="E18" s="326">
        <f t="shared" si="6"/>
        <v>26.715110066253501</v>
      </c>
      <c r="F18" s="326">
        <f t="shared" si="6"/>
        <v>27.553209041412305</v>
      </c>
      <c r="G18" s="326">
        <f t="shared" si="6"/>
        <v>26.995740983020251</v>
      </c>
      <c r="H18" s="326">
        <f t="shared" si="6"/>
        <v>22.849006856812888</v>
      </c>
      <c r="I18" s="326">
        <f t="shared" si="6"/>
        <v>29.652035680623317</v>
      </c>
      <c r="J18" s="326">
        <f>(J7/24)/J6</f>
        <v>25.73185979585999</v>
      </c>
      <c r="K18" s="346" t="s">
        <v>104</v>
      </c>
      <c r="L18" s="346" t="s">
        <v>104</v>
      </c>
      <c r="M18" s="346" t="s">
        <v>104</v>
      </c>
      <c r="N18" s="304"/>
      <c r="O18" s="304"/>
      <c r="P18" s="304"/>
    </row>
    <row r="19" spans="1:16" x14ac:dyDescent="0.25">
      <c r="A19" s="318"/>
      <c r="B19" s="319" t="s">
        <v>310</v>
      </c>
      <c r="C19" s="347">
        <v>3</v>
      </c>
      <c r="D19" s="347">
        <v>3</v>
      </c>
      <c r="E19" s="347">
        <v>3</v>
      </c>
      <c r="F19" s="347">
        <v>3</v>
      </c>
      <c r="G19" s="347">
        <v>3</v>
      </c>
      <c r="H19" s="347">
        <v>3</v>
      </c>
      <c r="I19" s="347">
        <v>3</v>
      </c>
      <c r="J19" s="347">
        <v>3</v>
      </c>
      <c r="K19" s="346" t="s">
        <v>79</v>
      </c>
      <c r="L19" s="346" t="s">
        <v>104</v>
      </c>
      <c r="M19" s="346" t="s">
        <v>104</v>
      </c>
      <c r="N19" s="304"/>
      <c r="O19" s="304"/>
      <c r="P19" s="304"/>
    </row>
    <row r="20" spans="1:16" x14ac:dyDescent="0.25">
      <c r="A20" s="318"/>
      <c r="B20" s="319" t="s">
        <v>717</v>
      </c>
      <c r="C20" s="345">
        <v>11</v>
      </c>
      <c r="D20" s="345">
        <v>11</v>
      </c>
      <c r="E20" s="345">
        <v>11</v>
      </c>
      <c r="F20" s="345">
        <v>11</v>
      </c>
      <c r="G20" s="345">
        <v>11</v>
      </c>
      <c r="H20" s="345">
        <v>11</v>
      </c>
      <c r="I20" s="345">
        <v>11</v>
      </c>
      <c r="J20" s="345">
        <v>11</v>
      </c>
      <c r="K20" s="346" t="s">
        <v>79</v>
      </c>
      <c r="L20" s="346" t="s">
        <v>104</v>
      </c>
      <c r="M20" s="346" t="s">
        <v>104</v>
      </c>
      <c r="N20" s="304"/>
      <c r="O20" s="304"/>
      <c r="P20" s="304"/>
    </row>
    <row r="21" spans="1:16" x14ac:dyDescent="0.25">
      <c r="A21" s="318"/>
      <c r="B21" s="319" t="s">
        <v>217</v>
      </c>
      <c r="C21" s="345">
        <v>25</v>
      </c>
      <c r="D21" s="345">
        <v>25</v>
      </c>
      <c r="E21" s="345">
        <v>25</v>
      </c>
      <c r="F21" s="345">
        <v>25</v>
      </c>
      <c r="G21" s="345">
        <v>20</v>
      </c>
      <c r="H21" s="345">
        <v>30</v>
      </c>
      <c r="I21" s="345">
        <v>20</v>
      </c>
      <c r="J21" s="345">
        <v>30</v>
      </c>
      <c r="K21" s="346" t="s">
        <v>79</v>
      </c>
      <c r="L21" s="346" t="s">
        <v>104</v>
      </c>
      <c r="M21" s="346" t="s">
        <v>104</v>
      </c>
      <c r="N21" s="304"/>
      <c r="O21" s="304"/>
      <c r="P21" s="304"/>
    </row>
    <row r="22" spans="1:16" x14ac:dyDescent="0.25">
      <c r="A22" s="318"/>
      <c r="B22" s="319" t="s">
        <v>718</v>
      </c>
      <c r="C22" s="345">
        <v>34500</v>
      </c>
      <c r="D22" s="345">
        <v>50000</v>
      </c>
      <c r="E22" s="345">
        <v>64500</v>
      </c>
      <c r="F22" s="345">
        <v>82500</v>
      </c>
      <c r="G22" s="345">
        <v>19000</v>
      </c>
      <c r="H22" s="345">
        <v>23500</v>
      </c>
      <c r="I22" s="345">
        <v>79000</v>
      </c>
      <c r="J22" s="345">
        <v>86000</v>
      </c>
      <c r="K22" s="346" t="s">
        <v>719</v>
      </c>
      <c r="L22" s="346" t="s">
        <v>830</v>
      </c>
      <c r="M22" s="346" t="s">
        <v>831</v>
      </c>
      <c r="N22" s="304"/>
      <c r="O22" s="304"/>
      <c r="P22" s="304"/>
    </row>
    <row r="23" spans="1:16" x14ac:dyDescent="0.25">
      <c r="A23" s="318"/>
      <c r="B23" s="319" t="s">
        <v>832</v>
      </c>
      <c r="C23" s="347">
        <v>2</v>
      </c>
      <c r="D23" s="347">
        <v>2</v>
      </c>
      <c r="E23" s="347">
        <v>2</v>
      </c>
      <c r="F23" s="347">
        <v>2</v>
      </c>
      <c r="G23" s="347">
        <v>1.5</v>
      </c>
      <c r="H23" s="347">
        <v>2</v>
      </c>
      <c r="I23" s="347">
        <v>1.5</v>
      </c>
      <c r="J23" s="347">
        <v>2</v>
      </c>
      <c r="K23" s="346" t="s">
        <v>86</v>
      </c>
      <c r="L23" s="346" t="s">
        <v>104</v>
      </c>
      <c r="M23" s="346" t="s">
        <v>104</v>
      </c>
      <c r="N23" s="304"/>
      <c r="O23" s="304"/>
      <c r="P23" s="304"/>
    </row>
    <row r="24" spans="1:16" x14ac:dyDescent="0.25">
      <c r="A24" s="318" t="s">
        <v>202</v>
      </c>
      <c r="B24" s="319"/>
      <c r="C24" s="345" t="s">
        <v>104</v>
      </c>
      <c r="D24" s="345" t="s">
        <v>104</v>
      </c>
      <c r="E24" s="345" t="s">
        <v>104</v>
      </c>
      <c r="F24" s="345" t="s">
        <v>104</v>
      </c>
      <c r="G24" s="345" t="s">
        <v>104</v>
      </c>
      <c r="H24" s="345" t="s">
        <v>104</v>
      </c>
      <c r="I24" s="345" t="s">
        <v>104</v>
      </c>
      <c r="J24" s="345" t="s">
        <v>104</v>
      </c>
      <c r="K24" s="346" t="s">
        <v>104</v>
      </c>
      <c r="L24" s="346" t="s">
        <v>104</v>
      </c>
      <c r="M24" s="346" t="s">
        <v>104</v>
      </c>
      <c r="N24" s="304"/>
      <c r="O24" s="304"/>
      <c r="P24" s="304"/>
    </row>
    <row r="25" spans="1:16" x14ac:dyDescent="0.25">
      <c r="A25" s="318"/>
      <c r="B25" s="165" t="s">
        <v>833</v>
      </c>
      <c r="C25" s="345">
        <v>1300</v>
      </c>
      <c r="D25" s="345">
        <v>775</v>
      </c>
      <c r="E25" s="345">
        <v>650</v>
      </c>
      <c r="F25" s="345">
        <v>500</v>
      </c>
      <c r="G25" s="345">
        <v>1450</v>
      </c>
      <c r="H25" s="345">
        <v>2150</v>
      </c>
      <c r="I25" s="345">
        <v>400</v>
      </c>
      <c r="J25" s="345">
        <v>600</v>
      </c>
      <c r="K25" s="346" t="s">
        <v>724</v>
      </c>
      <c r="L25" s="346" t="s">
        <v>834</v>
      </c>
      <c r="M25" s="346" t="s">
        <v>835</v>
      </c>
      <c r="N25" s="304"/>
      <c r="O25" s="304"/>
      <c r="P25" s="304"/>
    </row>
    <row r="26" spans="1:16" x14ac:dyDescent="0.25">
      <c r="A26" s="318"/>
      <c r="B26" s="319" t="s">
        <v>727</v>
      </c>
      <c r="C26" s="322">
        <f t="shared" ref="C26:J26" si="7">C$25*68%</f>
        <v>884.00000000000011</v>
      </c>
      <c r="D26" s="322">
        <f t="shared" si="7"/>
        <v>527</v>
      </c>
      <c r="E26" s="322">
        <f t="shared" si="7"/>
        <v>442.00000000000006</v>
      </c>
      <c r="F26" s="322">
        <f t="shared" si="7"/>
        <v>340</v>
      </c>
      <c r="G26" s="322">
        <f t="shared" si="7"/>
        <v>986.00000000000011</v>
      </c>
      <c r="H26" s="322">
        <f t="shared" si="7"/>
        <v>1462</v>
      </c>
      <c r="I26" s="322">
        <f t="shared" si="7"/>
        <v>272</v>
      </c>
      <c r="J26" s="322">
        <f t="shared" si="7"/>
        <v>408.00000000000006</v>
      </c>
      <c r="K26" s="346" t="s">
        <v>728</v>
      </c>
      <c r="L26" s="346" t="s">
        <v>104</v>
      </c>
      <c r="M26" s="346" t="s">
        <v>104</v>
      </c>
      <c r="N26" s="304"/>
      <c r="O26" s="304"/>
      <c r="P26" s="304"/>
    </row>
    <row r="27" spans="1:16" x14ac:dyDescent="0.25">
      <c r="A27" s="318"/>
      <c r="B27" s="319" t="s">
        <v>729</v>
      </c>
      <c r="C27" s="322">
        <f t="shared" ref="C27:J27" si="8">C$25*11%</f>
        <v>143</v>
      </c>
      <c r="D27" s="322">
        <f t="shared" si="8"/>
        <v>85.25</v>
      </c>
      <c r="E27" s="322">
        <f t="shared" si="8"/>
        <v>71.5</v>
      </c>
      <c r="F27" s="322">
        <f t="shared" si="8"/>
        <v>55</v>
      </c>
      <c r="G27" s="322">
        <f t="shared" si="8"/>
        <v>159.5</v>
      </c>
      <c r="H27" s="322">
        <f t="shared" si="8"/>
        <v>236.5</v>
      </c>
      <c r="I27" s="322">
        <f t="shared" si="8"/>
        <v>44</v>
      </c>
      <c r="J27" s="322">
        <f t="shared" si="8"/>
        <v>66</v>
      </c>
      <c r="K27" s="346" t="s">
        <v>728</v>
      </c>
      <c r="L27" s="346" t="s">
        <v>104</v>
      </c>
      <c r="M27" s="346" t="s">
        <v>104</v>
      </c>
      <c r="N27" s="304"/>
      <c r="O27" s="304"/>
      <c r="P27" s="304"/>
    </row>
    <row r="28" spans="1:16" x14ac:dyDescent="0.25">
      <c r="A28" s="318"/>
      <c r="B28" s="319" t="s">
        <v>730</v>
      </c>
      <c r="C28" s="322">
        <f t="shared" ref="C28:J28" si="9">C$25*7%</f>
        <v>91.000000000000014</v>
      </c>
      <c r="D28" s="322">
        <f t="shared" si="9"/>
        <v>54.250000000000007</v>
      </c>
      <c r="E28" s="322">
        <f t="shared" si="9"/>
        <v>45.500000000000007</v>
      </c>
      <c r="F28" s="322">
        <f t="shared" si="9"/>
        <v>35</v>
      </c>
      <c r="G28" s="322">
        <f t="shared" si="9"/>
        <v>101.50000000000001</v>
      </c>
      <c r="H28" s="322">
        <f t="shared" si="9"/>
        <v>150.50000000000003</v>
      </c>
      <c r="I28" s="322">
        <f t="shared" si="9"/>
        <v>28.000000000000004</v>
      </c>
      <c r="J28" s="322">
        <f t="shared" si="9"/>
        <v>42.000000000000007</v>
      </c>
      <c r="K28" s="346" t="s">
        <v>728</v>
      </c>
      <c r="L28" s="346" t="s">
        <v>104</v>
      </c>
      <c r="M28" s="346" t="s">
        <v>104</v>
      </c>
      <c r="N28" s="304"/>
      <c r="O28" s="304"/>
      <c r="P28" s="304"/>
    </row>
    <row r="29" spans="1:16" x14ac:dyDescent="0.25">
      <c r="A29" s="318"/>
      <c r="B29" s="319" t="s">
        <v>731</v>
      </c>
      <c r="C29" s="322">
        <f t="shared" ref="C29:J29" si="10">C$25*1.93%</f>
        <v>25.089999999999996</v>
      </c>
      <c r="D29" s="322">
        <f t="shared" si="10"/>
        <v>14.957499999999998</v>
      </c>
      <c r="E29" s="322">
        <f t="shared" si="10"/>
        <v>12.544999999999998</v>
      </c>
      <c r="F29" s="322">
        <f t="shared" si="10"/>
        <v>9.6499999999999986</v>
      </c>
      <c r="G29" s="322">
        <f t="shared" si="10"/>
        <v>27.984999999999996</v>
      </c>
      <c r="H29" s="322">
        <f t="shared" si="10"/>
        <v>41.494999999999997</v>
      </c>
      <c r="I29" s="322">
        <f t="shared" si="10"/>
        <v>7.7199999999999989</v>
      </c>
      <c r="J29" s="322">
        <f t="shared" si="10"/>
        <v>11.579999999999998</v>
      </c>
      <c r="K29" s="346" t="s">
        <v>728</v>
      </c>
      <c r="L29" s="346" t="s">
        <v>104</v>
      </c>
      <c r="M29" s="346" t="s">
        <v>104</v>
      </c>
      <c r="N29" s="304"/>
      <c r="O29" s="304"/>
      <c r="P29" s="304"/>
    </row>
    <row r="30" spans="1:16" x14ac:dyDescent="0.25">
      <c r="A30" s="318"/>
      <c r="B30" s="319" t="s">
        <v>732</v>
      </c>
      <c r="C30" s="322">
        <f t="shared" ref="C30:J30" si="11">C$25*0.96%</f>
        <v>12.479999999999999</v>
      </c>
      <c r="D30" s="322">
        <f t="shared" si="11"/>
        <v>7.4399999999999995</v>
      </c>
      <c r="E30" s="322">
        <f t="shared" si="11"/>
        <v>6.2399999999999993</v>
      </c>
      <c r="F30" s="322">
        <f t="shared" si="11"/>
        <v>4.8</v>
      </c>
      <c r="G30" s="322">
        <f t="shared" si="11"/>
        <v>13.919999999999998</v>
      </c>
      <c r="H30" s="322">
        <f t="shared" si="11"/>
        <v>20.639999999999997</v>
      </c>
      <c r="I30" s="322">
        <f t="shared" si="11"/>
        <v>3.84</v>
      </c>
      <c r="J30" s="322">
        <f t="shared" si="11"/>
        <v>5.76</v>
      </c>
      <c r="K30" s="346" t="s">
        <v>728</v>
      </c>
      <c r="L30" s="346" t="s">
        <v>104</v>
      </c>
      <c r="M30" s="346" t="s">
        <v>104</v>
      </c>
      <c r="N30" s="304"/>
      <c r="O30" s="304"/>
      <c r="P30" s="304"/>
    </row>
    <row r="31" spans="1:16" x14ac:dyDescent="0.25">
      <c r="A31" s="318"/>
      <c r="B31" s="319" t="s">
        <v>733</v>
      </c>
      <c r="C31" s="322">
        <f t="shared" ref="C31:J31" si="12">C$25*11.11%</f>
        <v>144.42999999999998</v>
      </c>
      <c r="D31" s="322">
        <f t="shared" si="12"/>
        <v>86.102499999999992</v>
      </c>
      <c r="E31" s="322">
        <f t="shared" si="12"/>
        <v>72.214999999999989</v>
      </c>
      <c r="F31" s="322">
        <f t="shared" si="12"/>
        <v>55.55</v>
      </c>
      <c r="G31" s="322">
        <f t="shared" si="12"/>
        <v>161.095</v>
      </c>
      <c r="H31" s="322">
        <f t="shared" si="12"/>
        <v>238.86499999999998</v>
      </c>
      <c r="I31" s="322">
        <f t="shared" si="12"/>
        <v>44.44</v>
      </c>
      <c r="J31" s="322">
        <f t="shared" si="12"/>
        <v>66.66</v>
      </c>
      <c r="K31" s="346" t="s">
        <v>728</v>
      </c>
      <c r="L31" s="346" t="s">
        <v>104</v>
      </c>
      <c r="M31" s="346" t="s">
        <v>104</v>
      </c>
      <c r="N31" s="304"/>
      <c r="O31" s="304"/>
      <c r="P31" s="304"/>
    </row>
    <row r="32" spans="1:16" x14ac:dyDescent="0.25">
      <c r="A32" s="318"/>
      <c r="B32" s="319" t="s">
        <v>734</v>
      </c>
      <c r="C32" s="322">
        <f t="shared" ref="C32:J32" si="13">C25/(C7/1000/C6)</f>
        <v>2136.1979166666665</v>
      </c>
      <c r="D32" s="322">
        <f t="shared" si="13"/>
        <v>1227.7459620073139</v>
      </c>
      <c r="E32" s="322">
        <f t="shared" si="13"/>
        <v>1013.7833333333322</v>
      </c>
      <c r="F32" s="322">
        <f t="shared" si="13"/>
        <v>756.11277445109795</v>
      </c>
      <c r="G32" s="322">
        <f t="shared" si="13"/>
        <v>2238.007347331843</v>
      </c>
      <c r="H32" s="322">
        <f t="shared" si="13"/>
        <v>3920.6663945930877</v>
      </c>
      <c r="I32" s="322">
        <f t="shared" si="13"/>
        <v>562.07495654532136</v>
      </c>
      <c r="J32" s="322">
        <f t="shared" si="13"/>
        <v>971.55822386465263</v>
      </c>
      <c r="K32" s="346" t="s">
        <v>735</v>
      </c>
      <c r="L32" s="346" t="s">
        <v>104</v>
      </c>
      <c r="M32" s="346" t="s">
        <v>104</v>
      </c>
      <c r="N32" s="304"/>
      <c r="O32" s="304"/>
      <c r="P32" s="304"/>
    </row>
    <row r="33" spans="1:16" x14ac:dyDescent="0.25">
      <c r="A33" s="318"/>
      <c r="B33" s="319" t="s">
        <v>736</v>
      </c>
      <c r="C33" s="345">
        <v>90</v>
      </c>
      <c r="D33" s="345">
        <v>90</v>
      </c>
      <c r="E33" s="345">
        <v>90</v>
      </c>
      <c r="F33" s="345">
        <v>90</v>
      </c>
      <c r="G33" s="345">
        <v>90</v>
      </c>
      <c r="H33" s="345">
        <v>90</v>
      </c>
      <c r="I33" s="345">
        <v>90</v>
      </c>
      <c r="J33" s="345">
        <v>90</v>
      </c>
      <c r="K33" s="346" t="s">
        <v>79</v>
      </c>
      <c r="L33" s="346" t="s">
        <v>104</v>
      </c>
      <c r="M33" s="346" t="s">
        <v>104</v>
      </c>
      <c r="N33" s="304"/>
      <c r="O33" s="304"/>
      <c r="P33" s="304"/>
    </row>
    <row r="34" spans="1:16" x14ac:dyDescent="0.25">
      <c r="A34" s="318"/>
      <c r="B34" s="319" t="s">
        <v>738</v>
      </c>
      <c r="C34" s="345">
        <v>10</v>
      </c>
      <c r="D34" s="345">
        <v>10</v>
      </c>
      <c r="E34" s="345">
        <v>10</v>
      </c>
      <c r="F34" s="345">
        <v>10</v>
      </c>
      <c r="G34" s="345">
        <v>10</v>
      </c>
      <c r="H34" s="345">
        <v>10</v>
      </c>
      <c r="I34" s="345">
        <v>10</v>
      </c>
      <c r="J34" s="345">
        <v>10</v>
      </c>
      <c r="K34" s="346" t="s">
        <v>79</v>
      </c>
      <c r="L34" s="346" t="s">
        <v>104</v>
      </c>
      <c r="M34" s="346" t="s">
        <v>104</v>
      </c>
      <c r="N34" s="304"/>
      <c r="O34" s="304"/>
      <c r="P34" s="304"/>
    </row>
    <row r="35" spans="1:16" x14ac:dyDescent="0.25">
      <c r="A35" s="318"/>
      <c r="B35" s="319" t="s">
        <v>739</v>
      </c>
      <c r="C35" s="345">
        <v>12</v>
      </c>
      <c r="D35" s="345">
        <v>12</v>
      </c>
      <c r="E35" s="345">
        <v>12</v>
      </c>
      <c r="F35" s="345">
        <v>12</v>
      </c>
      <c r="G35" s="345">
        <v>12</v>
      </c>
      <c r="H35" s="345">
        <v>12</v>
      </c>
      <c r="I35" s="345">
        <v>12</v>
      </c>
      <c r="J35" s="345">
        <v>12</v>
      </c>
      <c r="K35" s="346" t="s">
        <v>740</v>
      </c>
      <c r="L35" s="346" t="s">
        <v>104</v>
      </c>
      <c r="M35" s="346" t="s">
        <v>104</v>
      </c>
      <c r="N35" s="304"/>
      <c r="O35" s="304"/>
      <c r="P35" s="304"/>
    </row>
    <row r="36" spans="1:16" x14ac:dyDescent="0.25">
      <c r="A36" s="318"/>
      <c r="B36" s="319" t="s">
        <v>743</v>
      </c>
      <c r="C36" s="345" t="s">
        <v>85</v>
      </c>
      <c r="D36" s="345" t="s">
        <v>85</v>
      </c>
      <c r="E36" s="345" t="s">
        <v>85</v>
      </c>
      <c r="F36" s="345" t="s">
        <v>85</v>
      </c>
      <c r="G36" s="345" t="s">
        <v>85</v>
      </c>
      <c r="H36" s="345" t="s">
        <v>85</v>
      </c>
      <c r="I36" s="345" t="s">
        <v>85</v>
      </c>
      <c r="J36" s="345" t="s">
        <v>85</v>
      </c>
      <c r="K36" s="346" t="s">
        <v>744</v>
      </c>
      <c r="L36" s="346" t="s">
        <v>104</v>
      </c>
      <c r="M36" s="346" t="s">
        <v>104</v>
      </c>
      <c r="N36" s="304"/>
      <c r="O36" s="304"/>
      <c r="P36" s="304"/>
    </row>
    <row r="37" spans="1:16" x14ac:dyDescent="0.25">
      <c r="A37" s="318" t="s">
        <v>240</v>
      </c>
      <c r="B37" s="319"/>
      <c r="C37" s="345" t="s">
        <v>104</v>
      </c>
      <c r="D37" s="345" t="s">
        <v>104</v>
      </c>
      <c r="E37" s="345" t="s">
        <v>104</v>
      </c>
      <c r="F37" s="345" t="s">
        <v>104</v>
      </c>
      <c r="G37" s="345" t="s">
        <v>104</v>
      </c>
      <c r="H37" s="345" t="s">
        <v>104</v>
      </c>
      <c r="I37" s="345" t="s">
        <v>104</v>
      </c>
      <c r="J37" s="345" t="s">
        <v>104</v>
      </c>
      <c r="K37" s="346" t="s">
        <v>104</v>
      </c>
      <c r="L37" s="346" t="s">
        <v>104</v>
      </c>
      <c r="M37" s="346" t="s">
        <v>104</v>
      </c>
      <c r="N37" s="304"/>
      <c r="O37" s="304"/>
      <c r="P37" s="304"/>
    </row>
    <row r="38" spans="1:16" x14ac:dyDescent="0.25">
      <c r="A38" s="318"/>
      <c r="B38" s="318" t="s">
        <v>745</v>
      </c>
      <c r="C38" s="348">
        <v>0.85</v>
      </c>
      <c r="D38" s="348">
        <v>1</v>
      </c>
      <c r="E38" s="348">
        <v>1.5</v>
      </c>
      <c r="F38" s="348">
        <v>1.5</v>
      </c>
      <c r="G38" s="348">
        <v>0.5</v>
      </c>
      <c r="H38" s="348">
        <v>0.55000000000000004</v>
      </c>
      <c r="I38" s="348">
        <v>1.25</v>
      </c>
      <c r="J38" s="348">
        <v>1.75</v>
      </c>
      <c r="K38" s="346" t="s">
        <v>746</v>
      </c>
      <c r="L38" s="346" t="s">
        <v>741</v>
      </c>
      <c r="M38" s="346" t="s">
        <v>742</v>
      </c>
      <c r="N38" s="304"/>
      <c r="O38" s="304"/>
      <c r="P38" s="304"/>
    </row>
    <row r="39" spans="1:16" x14ac:dyDescent="0.25">
      <c r="A39" s="318"/>
      <c r="B39" s="319" t="s">
        <v>747</v>
      </c>
      <c r="C39" s="345" t="s">
        <v>104</v>
      </c>
      <c r="D39" s="345" t="s">
        <v>104</v>
      </c>
      <c r="E39" s="345" t="s">
        <v>104</v>
      </c>
      <c r="F39" s="345" t="s">
        <v>104</v>
      </c>
      <c r="G39" s="345" t="s">
        <v>104</v>
      </c>
      <c r="H39" s="345" t="s">
        <v>104</v>
      </c>
      <c r="I39" s="345" t="s">
        <v>104</v>
      </c>
      <c r="J39" s="345" t="s">
        <v>104</v>
      </c>
      <c r="K39" s="346" t="s">
        <v>104</v>
      </c>
      <c r="L39" s="346" t="s">
        <v>104</v>
      </c>
      <c r="M39" s="346" t="s">
        <v>104</v>
      </c>
      <c r="N39" s="304"/>
      <c r="O39" s="304"/>
      <c r="P39" s="304"/>
    </row>
    <row r="40" spans="1:16" x14ac:dyDescent="0.25">
      <c r="A40" s="318"/>
      <c r="B40" s="329" t="s">
        <v>748</v>
      </c>
      <c r="C40" s="345">
        <v>550</v>
      </c>
      <c r="D40" s="345">
        <v>500</v>
      </c>
      <c r="E40" s="345">
        <v>400</v>
      </c>
      <c r="F40" s="345">
        <v>300</v>
      </c>
      <c r="G40" s="345">
        <v>500</v>
      </c>
      <c r="H40" s="345">
        <v>700</v>
      </c>
      <c r="I40" s="345">
        <v>200</v>
      </c>
      <c r="J40" s="345">
        <v>400</v>
      </c>
      <c r="K40" s="346" t="s">
        <v>836</v>
      </c>
      <c r="L40" s="346" t="s">
        <v>797</v>
      </c>
      <c r="M40" s="346" t="s">
        <v>133</v>
      </c>
      <c r="N40" s="304"/>
      <c r="O40" s="304"/>
      <c r="P40" s="304"/>
    </row>
    <row r="41" spans="1:16" x14ac:dyDescent="0.25">
      <c r="A41" s="318"/>
      <c r="B41" s="329" t="s">
        <v>837</v>
      </c>
      <c r="C41" s="345">
        <v>50</v>
      </c>
      <c r="D41" s="345">
        <v>100</v>
      </c>
      <c r="E41" s="345">
        <v>150</v>
      </c>
      <c r="F41" s="345">
        <v>200</v>
      </c>
      <c r="G41" s="345">
        <v>2</v>
      </c>
      <c r="H41" s="345">
        <v>20</v>
      </c>
      <c r="I41" s="345">
        <v>150</v>
      </c>
      <c r="J41" s="345">
        <v>250</v>
      </c>
      <c r="K41" s="346" t="s">
        <v>79</v>
      </c>
      <c r="L41" s="346" t="s">
        <v>104</v>
      </c>
      <c r="M41" s="346" t="s">
        <v>104</v>
      </c>
      <c r="N41" s="304"/>
      <c r="O41" s="304"/>
      <c r="P41" s="304"/>
    </row>
    <row r="42" spans="1:16" x14ac:dyDescent="0.25">
      <c r="A42" s="318"/>
      <c r="B42" s="319" t="s">
        <v>756</v>
      </c>
      <c r="C42" s="348">
        <v>0.35900000000000176</v>
      </c>
      <c r="D42" s="348">
        <v>0.28333333333333333</v>
      </c>
      <c r="E42" s="348">
        <v>0.18200000000000216</v>
      </c>
      <c r="F42" s="348">
        <v>0.12</v>
      </c>
      <c r="G42" s="348">
        <v>0.4</v>
      </c>
      <c r="H42" s="348">
        <v>1.5</v>
      </c>
      <c r="I42" s="348">
        <v>0.1</v>
      </c>
      <c r="J42" s="348">
        <v>0.15</v>
      </c>
      <c r="K42" s="346" t="s">
        <v>757</v>
      </c>
      <c r="L42" s="346" t="s">
        <v>838</v>
      </c>
      <c r="M42" s="346" t="s">
        <v>839</v>
      </c>
      <c r="N42" s="304"/>
      <c r="O42" s="304"/>
      <c r="P42" s="304"/>
    </row>
    <row r="43" spans="1:16" x14ac:dyDescent="0.25">
      <c r="A43" s="318"/>
      <c r="B43" s="319" t="s">
        <v>760</v>
      </c>
      <c r="C43" s="345">
        <v>25.531914893617021</v>
      </c>
      <c r="D43" s="345">
        <v>15</v>
      </c>
      <c r="E43" s="345">
        <v>12.446808510638297</v>
      </c>
      <c r="F43" s="345">
        <v>12.446808510638297</v>
      </c>
      <c r="G43" s="345">
        <v>45</v>
      </c>
      <c r="H43" s="345">
        <v>22.5</v>
      </c>
      <c r="I43" s="345">
        <v>18.670212765957444</v>
      </c>
      <c r="J43" s="345">
        <v>9.3351063829787222</v>
      </c>
      <c r="K43" s="346" t="s">
        <v>761</v>
      </c>
      <c r="L43" s="346" t="s">
        <v>104</v>
      </c>
      <c r="M43" s="346" t="s">
        <v>104</v>
      </c>
      <c r="N43" s="304"/>
      <c r="O43" s="304"/>
      <c r="P43" s="304"/>
    </row>
    <row r="44" spans="1:16" x14ac:dyDescent="0.25">
      <c r="A44" s="318"/>
      <c r="B44" s="319" t="s">
        <v>762</v>
      </c>
      <c r="C44" s="345">
        <v>183.82978723404256</v>
      </c>
      <c r="D44" s="345">
        <v>108</v>
      </c>
      <c r="E44" s="345">
        <v>89.617021276595736</v>
      </c>
      <c r="F44" s="345">
        <v>89.617021276595736</v>
      </c>
      <c r="G44" s="345">
        <v>172.8</v>
      </c>
      <c r="H44" s="345">
        <v>324</v>
      </c>
      <c r="I44" s="345">
        <v>71.693617021276594</v>
      </c>
      <c r="J44" s="345">
        <v>134.42553191489361</v>
      </c>
      <c r="K44" s="346" t="s">
        <v>763</v>
      </c>
      <c r="L44" s="346" t="s">
        <v>104</v>
      </c>
      <c r="M44" s="346" t="s">
        <v>104</v>
      </c>
      <c r="N44" s="165"/>
      <c r="O44" s="304" t="s">
        <v>764</v>
      </c>
      <c r="P44" s="304"/>
    </row>
    <row r="45" spans="1:16" ht="13.8" thickBot="1" x14ac:dyDescent="0.3">
      <c r="A45" s="331"/>
      <c r="B45" s="332" t="s">
        <v>765</v>
      </c>
      <c r="C45" s="333" t="e">
        <f>#REF!/C38*#REF!</f>
        <v>#REF!</v>
      </c>
      <c r="D45" s="333" t="e">
        <f t="shared" ref="D45:F45" si="14">C38/D38*C45</f>
        <v>#REF!</v>
      </c>
      <c r="E45" s="333" t="e">
        <f t="shared" si="14"/>
        <v>#REF!</v>
      </c>
      <c r="F45" s="333" t="e">
        <f t="shared" si="14"/>
        <v>#REF!</v>
      </c>
      <c r="G45" s="333" t="e">
        <f>G38/#REF!*#REF!</f>
        <v>#REF!</v>
      </c>
      <c r="H45" s="333" t="e">
        <f>H38/#REF!*#REF!</f>
        <v>#REF!</v>
      </c>
      <c r="I45" s="333" t="e">
        <f>I38/F38*F45</f>
        <v>#REF!</v>
      </c>
      <c r="J45" s="333" t="e">
        <f>J38/F38*F45</f>
        <v>#REF!</v>
      </c>
      <c r="K45" s="349" t="s">
        <v>766</v>
      </c>
      <c r="L45" s="349" t="s">
        <v>104</v>
      </c>
      <c r="M45" s="349" t="s">
        <v>104</v>
      </c>
      <c r="N45" s="304"/>
      <c r="O45" s="304"/>
      <c r="P45" s="304"/>
    </row>
    <row r="46" spans="1:16" x14ac:dyDescent="0.25">
      <c r="A46" s="318"/>
      <c r="B46" s="304"/>
      <c r="C46" s="335"/>
      <c r="D46" s="335"/>
      <c r="E46" s="335"/>
      <c r="F46" s="335"/>
      <c r="G46" s="335"/>
      <c r="H46" s="335"/>
      <c r="I46" s="335"/>
      <c r="J46" s="335"/>
      <c r="K46" s="316"/>
      <c r="L46" s="336"/>
      <c r="M46" s="336"/>
      <c r="N46" s="304"/>
      <c r="O46" s="304"/>
      <c r="P46" s="304"/>
    </row>
    <row r="47" spans="1:16" x14ac:dyDescent="0.25">
      <c r="A47" s="318"/>
      <c r="B47" s="304"/>
      <c r="C47" s="304"/>
      <c r="D47" s="304"/>
      <c r="E47" s="304"/>
      <c r="F47" s="304"/>
      <c r="G47" s="304"/>
      <c r="H47" s="304"/>
      <c r="I47" s="304"/>
      <c r="J47" s="304"/>
      <c r="K47" s="304"/>
      <c r="L47" s="304"/>
      <c r="M47" s="304"/>
      <c r="N47" s="304"/>
      <c r="O47" s="304"/>
      <c r="P47" s="304"/>
    </row>
    <row r="48" spans="1:16" x14ac:dyDescent="0.25">
      <c r="A48" s="337"/>
      <c r="B48" s="304"/>
      <c r="C48" s="304"/>
      <c r="D48" s="304"/>
      <c r="E48" s="304"/>
      <c r="F48" s="304"/>
      <c r="G48" s="304"/>
      <c r="H48" s="304"/>
      <c r="I48" s="304"/>
      <c r="J48" s="304"/>
      <c r="K48" s="304"/>
      <c r="L48" s="304"/>
      <c r="M48" s="304"/>
      <c r="N48" s="304"/>
      <c r="O48" s="304"/>
      <c r="P48" s="304"/>
    </row>
    <row r="49" spans="1:16" x14ac:dyDescent="0.25">
      <c r="A49" s="165"/>
      <c r="B49" s="304"/>
      <c r="C49" s="304"/>
      <c r="D49" s="304"/>
      <c r="E49" s="304"/>
      <c r="F49" s="304"/>
      <c r="G49" s="304"/>
      <c r="H49" s="304"/>
      <c r="I49" s="304"/>
      <c r="J49" s="304"/>
      <c r="K49" s="304"/>
      <c r="L49" s="304"/>
      <c r="M49" s="304"/>
      <c r="N49" s="304"/>
      <c r="O49" s="304"/>
      <c r="P49" s="304"/>
    </row>
    <row r="50" spans="1:16" x14ac:dyDescent="0.25">
      <c r="A50" s="358" t="s">
        <v>89</v>
      </c>
      <c r="B50" s="358"/>
      <c r="C50" s="358"/>
      <c r="D50" s="358"/>
      <c r="E50" s="358"/>
      <c r="F50" s="358"/>
      <c r="G50" s="358"/>
      <c r="H50" s="358"/>
      <c r="I50" s="358"/>
      <c r="J50" s="358"/>
      <c r="K50" s="358"/>
      <c r="L50" s="358"/>
      <c r="M50" s="358"/>
      <c r="N50" s="304"/>
      <c r="O50" s="304"/>
      <c r="P50" s="304"/>
    </row>
    <row r="51" spans="1:16" x14ac:dyDescent="0.25">
      <c r="A51" s="338" t="s">
        <v>104</v>
      </c>
      <c r="B51" s="359" t="s">
        <v>767</v>
      </c>
      <c r="C51" s="359"/>
      <c r="D51" s="359"/>
      <c r="E51" s="359"/>
      <c r="F51" s="359"/>
      <c r="G51" s="359"/>
      <c r="H51" s="359"/>
      <c r="I51" s="359"/>
      <c r="J51" s="359"/>
      <c r="K51" s="359"/>
      <c r="L51" s="359"/>
      <c r="M51" s="359"/>
      <c r="N51" s="339"/>
      <c r="O51" s="304"/>
      <c r="P51" s="304"/>
    </row>
    <row r="52" spans="1:16" x14ac:dyDescent="0.25">
      <c r="A52" s="338" t="s">
        <v>104</v>
      </c>
      <c r="B52" s="359" t="s">
        <v>768</v>
      </c>
      <c r="C52" s="359"/>
      <c r="D52" s="359"/>
      <c r="E52" s="359"/>
      <c r="F52" s="359"/>
      <c r="G52" s="359"/>
      <c r="H52" s="359"/>
      <c r="I52" s="359"/>
      <c r="J52" s="359"/>
      <c r="K52" s="359"/>
      <c r="L52" s="359"/>
      <c r="M52" s="359"/>
      <c r="N52" s="339"/>
      <c r="O52" s="304"/>
      <c r="P52" s="304"/>
    </row>
    <row r="53" spans="1:16" x14ac:dyDescent="0.25">
      <c r="A53" s="338" t="s">
        <v>104</v>
      </c>
      <c r="B53" s="359" t="s">
        <v>769</v>
      </c>
      <c r="C53" s="359"/>
      <c r="D53" s="359"/>
      <c r="E53" s="359"/>
      <c r="F53" s="359"/>
      <c r="G53" s="359"/>
      <c r="H53" s="359"/>
      <c r="I53" s="359"/>
      <c r="J53" s="359"/>
      <c r="K53" s="359"/>
      <c r="L53" s="359"/>
      <c r="M53" s="359"/>
      <c r="N53" s="339"/>
      <c r="O53" s="304"/>
      <c r="P53" s="304"/>
    </row>
    <row r="54" spans="1:16" x14ac:dyDescent="0.25">
      <c r="A54" s="338" t="s">
        <v>104</v>
      </c>
      <c r="B54" s="359" t="s">
        <v>770</v>
      </c>
      <c r="C54" s="359"/>
      <c r="D54" s="359"/>
      <c r="E54" s="359"/>
      <c r="F54" s="359"/>
      <c r="G54" s="359"/>
      <c r="H54" s="359"/>
      <c r="I54" s="359"/>
      <c r="J54" s="359"/>
      <c r="K54" s="359"/>
      <c r="L54" s="359"/>
      <c r="M54" s="359"/>
      <c r="N54" s="339"/>
      <c r="O54" s="304"/>
      <c r="P54" s="304"/>
    </row>
    <row r="55" spans="1:16" x14ac:dyDescent="0.25">
      <c r="A55" s="338" t="s">
        <v>104</v>
      </c>
      <c r="B55" s="359" t="s">
        <v>771</v>
      </c>
      <c r="C55" s="359"/>
      <c r="D55" s="359"/>
      <c r="E55" s="359"/>
      <c r="F55" s="359"/>
      <c r="G55" s="359"/>
      <c r="H55" s="359"/>
      <c r="I55" s="359"/>
      <c r="J55" s="359"/>
      <c r="K55" s="359"/>
      <c r="L55" s="359"/>
      <c r="M55" s="359"/>
      <c r="N55" s="339"/>
      <c r="O55" s="304"/>
      <c r="P55" s="304"/>
    </row>
    <row r="56" spans="1:16" x14ac:dyDescent="0.25">
      <c r="A56" s="338" t="s">
        <v>104</v>
      </c>
      <c r="B56" s="359" t="s">
        <v>772</v>
      </c>
      <c r="C56" s="359"/>
      <c r="D56" s="359"/>
      <c r="E56" s="359"/>
      <c r="F56" s="359"/>
      <c r="G56" s="359"/>
      <c r="H56" s="359"/>
      <c r="I56" s="359"/>
      <c r="J56" s="359"/>
      <c r="K56" s="359"/>
      <c r="L56" s="359"/>
      <c r="M56" s="359"/>
      <c r="N56" s="339"/>
      <c r="O56" s="304"/>
      <c r="P56" s="304"/>
    </row>
    <row r="57" spans="1:16" x14ac:dyDescent="0.25">
      <c r="A57" s="338" t="s">
        <v>104</v>
      </c>
      <c r="B57" s="359" t="s">
        <v>773</v>
      </c>
      <c r="C57" s="359"/>
      <c r="D57" s="359"/>
      <c r="E57" s="359"/>
      <c r="F57" s="359"/>
      <c r="G57" s="359"/>
      <c r="H57" s="359"/>
      <c r="I57" s="359"/>
      <c r="J57" s="359"/>
      <c r="K57" s="359"/>
      <c r="L57" s="359"/>
      <c r="M57" s="359"/>
      <c r="N57" s="339"/>
      <c r="O57" s="304"/>
      <c r="P57" s="304"/>
    </row>
    <row r="58" spans="1:16" x14ac:dyDescent="0.25">
      <c r="A58" s="338" t="s">
        <v>104</v>
      </c>
      <c r="B58" s="359" t="s">
        <v>774</v>
      </c>
      <c r="C58" s="359"/>
      <c r="D58" s="359"/>
      <c r="E58" s="359"/>
      <c r="F58" s="359"/>
      <c r="G58" s="359"/>
      <c r="H58" s="359"/>
      <c r="I58" s="359"/>
      <c r="J58" s="359"/>
      <c r="K58" s="359"/>
      <c r="L58" s="359"/>
      <c r="M58" s="359"/>
      <c r="N58" s="339"/>
      <c r="O58" s="304"/>
      <c r="P58" s="304"/>
    </row>
    <row r="59" spans="1:16" x14ac:dyDescent="0.25">
      <c r="A59" s="338" t="s">
        <v>104</v>
      </c>
      <c r="B59" s="359" t="s">
        <v>775</v>
      </c>
      <c r="C59" s="359"/>
      <c r="D59" s="359"/>
      <c r="E59" s="359"/>
      <c r="F59" s="359"/>
      <c r="G59" s="359"/>
      <c r="H59" s="359"/>
      <c r="I59" s="359"/>
      <c r="J59" s="359"/>
      <c r="K59" s="359"/>
      <c r="L59" s="359"/>
      <c r="M59" s="359"/>
      <c r="N59" s="339"/>
      <c r="O59" s="304"/>
      <c r="P59" s="304"/>
    </row>
    <row r="60" spans="1:16" x14ac:dyDescent="0.25">
      <c r="A60" s="338" t="s">
        <v>104</v>
      </c>
      <c r="B60" s="359" t="s">
        <v>776</v>
      </c>
      <c r="C60" s="359"/>
      <c r="D60" s="359"/>
      <c r="E60" s="359"/>
      <c r="F60" s="359"/>
      <c r="G60" s="359"/>
      <c r="H60" s="359"/>
      <c r="I60" s="359"/>
      <c r="J60" s="359"/>
      <c r="K60" s="359"/>
      <c r="L60" s="359"/>
      <c r="M60" s="359"/>
      <c r="N60" s="339"/>
      <c r="O60" s="304"/>
      <c r="P60" s="304"/>
    </row>
    <row r="61" spans="1:16" x14ac:dyDescent="0.25">
      <c r="A61" s="338" t="s">
        <v>104</v>
      </c>
      <c r="B61" s="359" t="s">
        <v>777</v>
      </c>
      <c r="C61" s="359"/>
      <c r="D61" s="359"/>
      <c r="E61" s="359"/>
      <c r="F61" s="359"/>
      <c r="G61" s="359"/>
      <c r="H61" s="359"/>
      <c r="I61" s="359"/>
      <c r="J61" s="359"/>
      <c r="K61" s="359"/>
      <c r="L61" s="359"/>
      <c r="M61" s="359"/>
      <c r="N61" s="339"/>
      <c r="O61" s="304"/>
      <c r="P61" s="304"/>
    </row>
    <row r="62" spans="1:16" x14ac:dyDescent="0.25">
      <c r="A62" s="338" t="s">
        <v>104</v>
      </c>
      <c r="B62" s="359" t="s">
        <v>778</v>
      </c>
      <c r="C62" s="359"/>
      <c r="D62" s="359"/>
      <c r="E62" s="359"/>
      <c r="F62" s="359"/>
      <c r="G62" s="359"/>
      <c r="H62" s="359"/>
      <c r="I62" s="359"/>
      <c r="J62" s="359"/>
      <c r="K62" s="359"/>
      <c r="L62" s="359"/>
      <c r="M62" s="359"/>
      <c r="N62" s="339"/>
      <c r="O62" s="304"/>
      <c r="P62" s="304"/>
    </row>
    <row r="63" spans="1:16" x14ac:dyDescent="0.25">
      <c r="A63" s="338" t="s">
        <v>104</v>
      </c>
      <c r="B63" s="359" t="s">
        <v>779</v>
      </c>
      <c r="C63" s="359"/>
      <c r="D63" s="359"/>
      <c r="E63" s="359"/>
      <c r="F63" s="359"/>
      <c r="G63" s="359"/>
      <c r="H63" s="359"/>
      <c r="I63" s="359"/>
      <c r="J63" s="359"/>
      <c r="K63" s="359"/>
      <c r="L63" s="359"/>
      <c r="M63" s="359"/>
      <c r="N63" s="339"/>
      <c r="O63" s="304"/>
      <c r="P63" s="304"/>
    </row>
    <row r="64" spans="1:16" x14ac:dyDescent="0.25">
      <c r="A64" s="338" t="s">
        <v>104</v>
      </c>
      <c r="B64" s="359" t="s">
        <v>780</v>
      </c>
      <c r="C64" s="359"/>
      <c r="D64" s="359"/>
      <c r="E64" s="359"/>
      <c r="F64" s="359"/>
      <c r="G64" s="359"/>
      <c r="H64" s="359"/>
      <c r="I64" s="359"/>
      <c r="J64" s="359"/>
      <c r="K64" s="359"/>
      <c r="L64" s="359"/>
      <c r="M64" s="359"/>
      <c r="N64" s="339"/>
      <c r="O64" s="304"/>
      <c r="P64" s="304"/>
    </row>
    <row r="65" spans="1:16" x14ac:dyDescent="0.25">
      <c r="A65" s="338" t="s">
        <v>104</v>
      </c>
      <c r="B65" s="359" t="s">
        <v>781</v>
      </c>
      <c r="C65" s="359"/>
      <c r="D65" s="359"/>
      <c r="E65" s="359"/>
      <c r="F65" s="359"/>
      <c r="G65" s="359"/>
      <c r="H65" s="359"/>
      <c r="I65" s="359"/>
      <c r="J65" s="359"/>
      <c r="K65" s="359"/>
      <c r="L65" s="359"/>
      <c r="M65" s="359"/>
      <c r="N65" s="339"/>
      <c r="O65" s="304"/>
      <c r="P65" s="304"/>
    </row>
    <row r="66" spans="1:16" x14ac:dyDescent="0.25">
      <c r="A66" s="338" t="s">
        <v>104</v>
      </c>
      <c r="B66" s="359" t="s">
        <v>782</v>
      </c>
      <c r="C66" s="359"/>
      <c r="D66" s="359"/>
      <c r="E66" s="359"/>
      <c r="F66" s="359"/>
      <c r="G66" s="359"/>
      <c r="H66" s="359"/>
      <c r="I66" s="359"/>
      <c r="J66" s="359"/>
      <c r="K66" s="359"/>
      <c r="L66" s="359"/>
      <c r="M66" s="359"/>
      <c r="N66" s="339"/>
      <c r="O66" s="304"/>
      <c r="P66" s="304"/>
    </row>
    <row r="67" spans="1:16" x14ac:dyDescent="0.25">
      <c r="A67" s="338" t="s">
        <v>104</v>
      </c>
      <c r="B67" s="359" t="s">
        <v>783</v>
      </c>
      <c r="C67" s="359"/>
      <c r="D67" s="359"/>
      <c r="E67" s="359"/>
      <c r="F67" s="359"/>
      <c r="G67" s="359"/>
      <c r="H67" s="359"/>
      <c r="I67" s="359"/>
      <c r="J67" s="359"/>
      <c r="K67" s="359"/>
      <c r="L67" s="359"/>
      <c r="M67" s="359"/>
      <c r="N67" s="339"/>
      <c r="O67" s="304"/>
      <c r="P67" s="304"/>
    </row>
    <row r="68" spans="1:16" x14ac:dyDescent="0.25">
      <c r="A68" s="338" t="s">
        <v>104</v>
      </c>
      <c r="B68" s="359" t="s">
        <v>784</v>
      </c>
      <c r="C68" s="359"/>
      <c r="D68" s="359"/>
      <c r="E68" s="359"/>
      <c r="F68" s="359"/>
      <c r="G68" s="359"/>
      <c r="H68" s="359"/>
      <c r="I68" s="359"/>
      <c r="J68" s="359"/>
      <c r="K68" s="359"/>
      <c r="L68" s="359"/>
      <c r="M68" s="359"/>
      <c r="N68" s="339"/>
      <c r="O68" s="304"/>
      <c r="P68" s="304"/>
    </row>
    <row r="69" spans="1:16" x14ac:dyDescent="0.25">
      <c r="A69" s="338" t="s">
        <v>104</v>
      </c>
      <c r="B69" s="359" t="s">
        <v>785</v>
      </c>
      <c r="C69" s="359"/>
      <c r="D69" s="359"/>
      <c r="E69" s="359"/>
      <c r="F69" s="359"/>
      <c r="G69" s="359"/>
      <c r="H69" s="359"/>
      <c r="I69" s="359"/>
      <c r="J69" s="359"/>
      <c r="K69" s="359"/>
      <c r="L69" s="359"/>
      <c r="M69" s="359"/>
      <c r="N69" s="339"/>
      <c r="O69" s="304"/>
      <c r="P69" s="304"/>
    </row>
    <row r="70" spans="1:16" x14ac:dyDescent="0.25">
      <c r="A70" s="338" t="s">
        <v>104</v>
      </c>
      <c r="B70" s="359" t="s">
        <v>786</v>
      </c>
      <c r="C70" s="359"/>
      <c r="D70" s="359"/>
      <c r="E70" s="359"/>
      <c r="F70" s="359"/>
      <c r="G70" s="359"/>
      <c r="H70" s="359"/>
      <c r="I70" s="359"/>
      <c r="J70" s="359"/>
      <c r="K70" s="359"/>
      <c r="L70" s="359"/>
      <c r="M70" s="359"/>
      <c r="N70" s="339"/>
      <c r="O70" s="304"/>
      <c r="P70" s="304"/>
    </row>
    <row r="71" spans="1:16" x14ac:dyDescent="0.25">
      <c r="A71" s="338" t="s">
        <v>104</v>
      </c>
      <c r="B71" s="359" t="s">
        <v>787</v>
      </c>
      <c r="C71" s="359"/>
      <c r="D71" s="359"/>
      <c r="E71" s="359"/>
      <c r="F71" s="359"/>
      <c r="G71" s="359"/>
      <c r="H71" s="359"/>
      <c r="I71" s="359"/>
      <c r="J71" s="359"/>
      <c r="K71" s="359"/>
      <c r="L71" s="359"/>
      <c r="M71" s="359"/>
      <c r="N71" s="339"/>
      <c r="O71" s="304"/>
      <c r="P71" s="304"/>
    </row>
    <row r="72" spans="1:16" x14ac:dyDescent="0.25">
      <c r="A72" s="338" t="s">
        <v>104</v>
      </c>
      <c r="B72" s="359" t="s">
        <v>788</v>
      </c>
      <c r="C72" s="359"/>
      <c r="D72" s="359"/>
      <c r="E72" s="359"/>
      <c r="F72" s="359"/>
      <c r="G72" s="359"/>
      <c r="H72" s="359"/>
      <c r="I72" s="359"/>
      <c r="J72" s="359"/>
      <c r="K72" s="359"/>
      <c r="L72" s="359"/>
      <c r="M72" s="359"/>
      <c r="N72" s="339"/>
      <c r="O72" s="304"/>
      <c r="P72" s="304"/>
    </row>
    <row r="73" spans="1:16" x14ac:dyDescent="0.25">
      <c r="A73" s="338" t="s">
        <v>104</v>
      </c>
      <c r="B73" s="359" t="s">
        <v>789</v>
      </c>
      <c r="C73" s="359"/>
      <c r="D73" s="359"/>
      <c r="E73" s="359"/>
      <c r="F73" s="359"/>
      <c r="G73" s="359"/>
      <c r="H73" s="359"/>
      <c r="I73" s="359"/>
      <c r="J73" s="359"/>
      <c r="K73" s="359"/>
      <c r="L73" s="359"/>
      <c r="M73" s="359"/>
      <c r="N73" s="339"/>
      <c r="O73" s="304"/>
      <c r="P73" s="304"/>
    </row>
    <row r="74" spans="1:16" x14ac:dyDescent="0.25">
      <c r="A74" s="338" t="s">
        <v>104</v>
      </c>
      <c r="B74" s="359" t="s">
        <v>790</v>
      </c>
      <c r="C74" s="359"/>
      <c r="D74" s="359"/>
      <c r="E74" s="359"/>
      <c r="F74" s="359"/>
      <c r="G74" s="359"/>
      <c r="H74" s="359"/>
      <c r="I74" s="359"/>
      <c r="J74" s="359"/>
      <c r="K74" s="359"/>
      <c r="L74" s="359"/>
      <c r="M74" s="359"/>
      <c r="N74" s="339"/>
      <c r="O74" s="304"/>
      <c r="P74" s="304"/>
    </row>
    <row r="75" spans="1:16" x14ac:dyDescent="0.25">
      <c r="A75" s="338" t="s">
        <v>104</v>
      </c>
      <c r="B75" s="359" t="s">
        <v>791</v>
      </c>
      <c r="C75" s="359"/>
      <c r="D75" s="359"/>
      <c r="E75" s="359"/>
      <c r="F75" s="359"/>
      <c r="G75" s="359"/>
      <c r="H75" s="359"/>
      <c r="I75" s="359"/>
      <c r="J75" s="359"/>
      <c r="K75" s="359"/>
      <c r="L75" s="359"/>
      <c r="M75" s="359"/>
      <c r="N75" s="339"/>
      <c r="O75" s="304"/>
      <c r="P75" s="304"/>
    </row>
    <row r="76" spans="1:16" x14ac:dyDescent="0.25">
      <c r="A76" s="338" t="s">
        <v>104</v>
      </c>
      <c r="B76" s="359" t="s">
        <v>792</v>
      </c>
      <c r="C76" s="359"/>
      <c r="D76" s="359"/>
      <c r="E76" s="359"/>
      <c r="F76" s="359"/>
      <c r="G76" s="359"/>
      <c r="H76" s="359"/>
      <c r="I76" s="359"/>
      <c r="J76" s="359"/>
      <c r="K76" s="359"/>
      <c r="L76" s="359"/>
      <c r="M76" s="359"/>
      <c r="N76" s="339"/>
      <c r="O76" s="304"/>
      <c r="P76" s="304"/>
    </row>
    <row r="77" spans="1:16" x14ac:dyDescent="0.25">
      <c r="A77" s="338" t="s">
        <v>104</v>
      </c>
      <c r="B77" s="357" t="s">
        <v>104</v>
      </c>
      <c r="C77" s="357"/>
      <c r="D77" s="357"/>
      <c r="E77" s="357"/>
      <c r="F77" s="357"/>
      <c r="G77" s="357"/>
      <c r="H77" s="357"/>
      <c r="I77" s="357"/>
      <c r="J77" s="357"/>
      <c r="K77" s="357"/>
      <c r="L77" s="357"/>
      <c r="M77" s="357"/>
      <c r="N77" s="339"/>
      <c r="O77" s="304"/>
      <c r="P77" s="304"/>
    </row>
    <row r="78" spans="1:16" x14ac:dyDescent="0.25">
      <c r="A78" s="338" t="s">
        <v>104</v>
      </c>
      <c r="B78" s="357" t="s">
        <v>104</v>
      </c>
      <c r="C78" s="357"/>
      <c r="D78" s="357"/>
      <c r="E78" s="357"/>
      <c r="F78" s="357"/>
      <c r="G78" s="357"/>
      <c r="H78" s="357"/>
      <c r="I78" s="357"/>
      <c r="J78" s="357"/>
      <c r="K78" s="357"/>
      <c r="L78" s="357"/>
      <c r="M78" s="357"/>
      <c r="N78" s="339"/>
      <c r="O78" s="304"/>
      <c r="P78" s="304"/>
    </row>
    <row r="79" spans="1:16" x14ac:dyDescent="0.25">
      <c r="A79" s="358" t="s">
        <v>95</v>
      </c>
      <c r="B79" s="358" t="s">
        <v>104</v>
      </c>
      <c r="C79" s="358"/>
      <c r="D79" s="358"/>
      <c r="E79" s="358"/>
      <c r="F79" s="358"/>
      <c r="G79" s="358"/>
      <c r="H79" s="358"/>
      <c r="I79" s="358"/>
      <c r="J79" s="358"/>
      <c r="K79" s="358"/>
      <c r="L79" s="358"/>
      <c r="M79" s="358"/>
      <c r="N79" s="339"/>
      <c r="O79" s="304"/>
      <c r="P79" s="304"/>
    </row>
    <row r="80" spans="1:16" x14ac:dyDescent="0.25">
      <c r="A80" s="338" t="s">
        <v>793</v>
      </c>
      <c r="B80" s="357" t="s">
        <v>794</v>
      </c>
      <c r="C80" s="357"/>
      <c r="D80" s="357"/>
      <c r="E80" s="357"/>
      <c r="F80" s="357"/>
      <c r="G80" s="357"/>
      <c r="H80" s="357"/>
      <c r="I80" s="357"/>
      <c r="J80" s="357"/>
      <c r="K80" s="357"/>
      <c r="L80" s="357"/>
      <c r="M80" s="357"/>
      <c r="N80" s="339"/>
      <c r="O80" s="304"/>
      <c r="P80" s="304"/>
    </row>
    <row r="81" spans="1:16" x14ac:dyDescent="0.25">
      <c r="A81" s="338" t="s">
        <v>795</v>
      </c>
      <c r="B81" s="357" t="s">
        <v>796</v>
      </c>
      <c r="C81" s="357"/>
      <c r="D81" s="357"/>
      <c r="E81" s="357"/>
      <c r="F81" s="357"/>
      <c r="G81" s="357"/>
      <c r="H81" s="357"/>
      <c r="I81" s="357"/>
      <c r="J81" s="357"/>
      <c r="K81" s="357"/>
      <c r="L81" s="357"/>
      <c r="M81" s="357"/>
      <c r="N81" s="339"/>
      <c r="O81" s="304"/>
      <c r="P81" s="304"/>
    </row>
    <row r="82" spans="1:16" x14ac:dyDescent="0.25">
      <c r="A82" s="338" t="s">
        <v>797</v>
      </c>
      <c r="B82" s="357" t="s">
        <v>798</v>
      </c>
      <c r="C82" s="357"/>
      <c r="D82" s="357"/>
      <c r="E82" s="357"/>
      <c r="F82" s="357"/>
      <c r="G82" s="357"/>
      <c r="H82" s="357"/>
      <c r="I82" s="357"/>
      <c r="J82" s="357"/>
      <c r="K82" s="357"/>
      <c r="L82" s="357"/>
      <c r="M82" s="357"/>
      <c r="N82" s="339"/>
      <c r="O82" s="304"/>
      <c r="P82" s="304"/>
    </row>
    <row r="83" spans="1:16" x14ac:dyDescent="0.25">
      <c r="A83" s="338" t="s">
        <v>799</v>
      </c>
      <c r="B83" s="357" t="s">
        <v>800</v>
      </c>
      <c r="C83" s="357"/>
      <c r="D83" s="357"/>
      <c r="E83" s="357"/>
      <c r="F83" s="357"/>
      <c r="G83" s="357"/>
      <c r="H83" s="357"/>
      <c r="I83" s="357"/>
      <c r="J83" s="357"/>
      <c r="K83" s="357"/>
      <c r="L83" s="357"/>
      <c r="M83" s="357"/>
      <c r="N83" s="339"/>
      <c r="O83" s="304"/>
      <c r="P83" s="304"/>
    </row>
    <row r="84" spans="1:16" x14ac:dyDescent="0.25">
      <c r="A84" s="338" t="s">
        <v>840</v>
      </c>
      <c r="B84" s="357" t="s">
        <v>841</v>
      </c>
      <c r="C84" s="357"/>
      <c r="D84" s="357"/>
      <c r="E84" s="357"/>
      <c r="F84" s="357"/>
      <c r="G84" s="357"/>
      <c r="H84" s="357"/>
      <c r="I84" s="357"/>
      <c r="J84" s="357"/>
      <c r="K84" s="357"/>
      <c r="L84" s="357"/>
      <c r="M84" s="357"/>
      <c r="N84" s="339"/>
      <c r="O84" s="304"/>
      <c r="P84" s="304"/>
    </row>
    <row r="85" spans="1:16" x14ac:dyDescent="0.25">
      <c r="A85" s="338" t="s">
        <v>803</v>
      </c>
      <c r="B85" s="357" t="s">
        <v>804</v>
      </c>
      <c r="C85" s="357"/>
      <c r="D85" s="357"/>
      <c r="E85" s="357"/>
      <c r="F85" s="357"/>
      <c r="G85" s="357"/>
      <c r="H85" s="357"/>
      <c r="I85" s="357"/>
      <c r="J85" s="357"/>
      <c r="K85" s="357"/>
      <c r="L85" s="357"/>
      <c r="M85" s="357"/>
      <c r="N85" s="339"/>
      <c r="O85" s="304"/>
      <c r="P85" s="304"/>
    </row>
    <row r="86" spans="1:16" x14ac:dyDescent="0.25">
      <c r="A86" s="338" t="s">
        <v>805</v>
      </c>
      <c r="B86" s="357" t="s">
        <v>806</v>
      </c>
      <c r="C86" s="357"/>
      <c r="D86" s="357"/>
      <c r="E86" s="357"/>
      <c r="F86" s="357"/>
      <c r="G86" s="357"/>
      <c r="H86" s="357"/>
      <c r="I86" s="357"/>
      <c r="J86" s="357"/>
      <c r="K86" s="357"/>
      <c r="L86" s="357"/>
      <c r="M86" s="357"/>
      <c r="N86" s="339"/>
      <c r="O86" s="304"/>
      <c r="P86" s="304"/>
    </row>
    <row r="87" spans="1:16" x14ac:dyDescent="0.25">
      <c r="A87" s="304" t="s">
        <v>741</v>
      </c>
      <c r="B87" s="357" t="s">
        <v>807</v>
      </c>
      <c r="C87" s="357"/>
      <c r="D87" s="357"/>
      <c r="E87" s="357"/>
      <c r="F87" s="357"/>
      <c r="G87" s="357"/>
      <c r="H87" s="357"/>
      <c r="I87" s="357"/>
      <c r="J87" s="357"/>
      <c r="K87" s="357"/>
      <c r="L87" s="357"/>
      <c r="M87" s="357"/>
      <c r="N87" s="304"/>
      <c r="O87" s="304"/>
      <c r="P87" s="304"/>
    </row>
    <row r="88" spans="1:16" x14ac:dyDescent="0.25">
      <c r="A88" s="304" t="s">
        <v>821</v>
      </c>
      <c r="B88" s="357" t="s">
        <v>842</v>
      </c>
      <c r="C88" s="357"/>
      <c r="D88" s="357"/>
      <c r="E88" s="357"/>
      <c r="F88" s="357"/>
      <c r="G88" s="357"/>
      <c r="H88" s="357"/>
      <c r="I88" s="357"/>
      <c r="J88" s="357"/>
      <c r="K88" s="357"/>
      <c r="L88" s="357"/>
      <c r="M88" s="357"/>
      <c r="N88" s="304"/>
      <c r="O88" s="304"/>
      <c r="P88" s="304"/>
    </row>
    <row r="89" spans="1:16" x14ac:dyDescent="0.25">
      <c r="A89" s="304" t="s">
        <v>812</v>
      </c>
      <c r="B89" s="357" t="s">
        <v>813</v>
      </c>
      <c r="C89" s="357"/>
      <c r="D89" s="357"/>
      <c r="E89" s="357"/>
      <c r="F89" s="357"/>
      <c r="G89" s="357"/>
      <c r="H89" s="357"/>
      <c r="I89" s="357"/>
      <c r="J89" s="357"/>
      <c r="K89" s="357"/>
      <c r="L89" s="357"/>
      <c r="M89" s="357"/>
      <c r="N89" s="304"/>
      <c r="O89" s="304"/>
      <c r="P89" s="304"/>
    </row>
    <row r="90" spans="1:16" x14ac:dyDescent="0.25">
      <c r="A90" s="304"/>
      <c r="B90" s="357"/>
      <c r="C90" s="357"/>
      <c r="D90" s="357"/>
      <c r="E90" s="357"/>
      <c r="F90" s="357"/>
      <c r="G90" s="357"/>
      <c r="H90" s="357"/>
      <c r="I90" s="357"/>
      <c r="J90" s="357"/>
      <c r="K90" s="357"/>
      <c r="L90" s="357"/>
      <c r="M90" s="357"/>
      <c r="N90" s="304"/>
      <c r="O90" s="304"/>
      <c r="P90" s="304"/>
    </row>
    <row r="91" spans="1:16" x14ac:dyDescent="0.25">
      <c r="A91" s="304"/>
      <c r="B91" s="357"/>
      <c r="C91" s="357"/>
      <c r="D91" s="357"/>
      <c r="E91" s="357"/>
      <c r="F91" s="357"/>
      <c r="G91" s="357"/>
      <c r="H91" s="357"/>
      <c r="I91" s="357"/>
      <c r="J91" s="357"/>
      <c r="K91" s="357"/>
      <c r="L91" s="357"/>
      <c r="M91" s="357"/>
      <c r="N91" s="304"/>
      <c r="O91" s="304"/>
      <c r="P91" s="304"/>
    </row>
    <row r="92" spans="1:16" x14ac:dyDescent="0.25">
      <c r="A92" s="304"/>
      <c r="B92" s="357"/>
      <c r="C92" s="357"/>
      <c r="D92" s="357"/>
      <c r="E92" s="357"/>
      <c r="F92" s="357"/>
      <c r="G92" s="357"/>
      <c r="H92" s="357"/>
      <c r="I92" s="357"/>
      <c r="J92" s="357"/>
      <c r="K92" s="357"/>
      <c r="L92" s="357"/>
      <c r="M92" s="357"/>
      <c r="N92" s="304"/>
      <c r="O92" s="304"/>
      <c r="P92" s="304"/>
    </row>
  </sheetData>
  <mergeCells count="44">
    <mergeCell ref="C1:J1"/>
    <mergeCell ref="A50:M50"/>
    <mergeCell ref="B51:M51"/>
    <mergeCell ref="B52:M52"/>
    <mergeCell ref="B53:M53"/>
    <mergeCell ref="B54:M54"/>
    <mergeCell ref="B55:M55"/>
    <mergeCell ref="B56:M56"/>
    <mergeCell ref="B57:M57"/>
    <mergeCell ref="B58:M58"/>
    <mergeCell ref="B59:M59"/>
    <mergeCell ref="B60:M60"/>
    <mergeCell ref="B61:M61"/>
    <mergeCell ref="B62:M62"/>
    <mergeCell ref="B63:M63"/>
    <mergeCell ref="B64:M64"/>
    <mergeCell ref="B65:M65"/>
    <mergeCell ref="B66:M66"/>
    <mergeCell ref="B67:M67"/>
    <mergeCell ref="B68:M68"/>
    <mergeCell ref="B69:M69"/>
    <mergeCell ref="B70:M70"/>
    <mergeCell ref="B71:M71"/>
    <mergeCell ref="B72:M72"/>
    <mergeCell ref="B73:M73"/>
    <mergeCell ref="B74:M74"/>
    <mergeCell ref="B75:M75"/>
    <mergeCell ref="B76:M76"/>
    <mergeCell ref="B77:M77"/>
    <mergeCell ref="B78:M78"/>
    <mergeCell ref="A79:M79"/>
    <mergeCell ref="B80:M80"/>
    <mergeCell ref="B81:M81"/>
    <mergeCell ref="B82:M82"/>
    <mergeCell ref="B83:M83"/>
    <mergeCell ref="B89:M89"/>
    <mergeCell ref="B90:M90"/>
    <mergeCell ref="B91:M91"/>
    <mergeCell ref="B92:M92"/>
    <mergeCell ref="B84:M84"/>
    <mergeCell ref="B85:M85"/>
    <mergeCell ref="B86:M86"/>
    <mergeCell ref="B87:M87"/>
    <mergeCell ref="B88:M88"/>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AE67"/>
  <sheetViews>
    <sheetView topLeftCell="F43" zoomScale="48" workbookViewId="0">
      <selection activeCell="AM79" sqref="AM79:AP89"/>
    </sheetView>
  </sheetViews>
  <sheetFormatPr defaultRowHeight="13.2" x14ac:dyDescent="0.25"/>
  <cols>
    <col min="18" max="18" width="11.88671875" bestFit="1" customWidth="1"/>
    <col min="30" max="30" width="12" bestFit="1" customWidth="1"/>
    <col min="40" max="40" width="14.21875" bestFit="1" customWidth="1"/>
  </cols>
  <sheetData>
    <row r="1" spans="1:19" x14ac:dyDescent="0.25">
      <c r="A1" s="44" t="s">
        <v>597</v>
      </c>
      <c r="B1" s="44" t="s">
        <v>598</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31" x14ac:dyDescent="0.25">
      <c r="A33" s="44"/>
      <c r="B33" s="44"/>
      <c r="C33" s="44"/>
      <c r="D33" s="44"/>
      <c r="E33" s="44"/>
      <c r="F33" s="44"/>
      <c r="G33" s="44"/>
      <c r="H33" s="44"/>
      <c r="I33" s="44"/>
      <c r="J33" s="44"/>
      <c r="K33" s="44"/>
      <c r="L33" s="44"/>
      <c r="M33" s="44"/>
      <c r="N33" s="44"/>
      <c r="O33" s="44"/>
      <c r="P33" s="44"/>
      <c r="Q33" s="44"/>
      <c r="R33" s="44"/>
      <c r="S33" s="44"/>
    </row>
    <row r="34" spans="1:31" x14ac:dyDescent="0.25">
      <c r="A34" s="44"/>
      <c r="B34" s="44"/>
      <c r="C34" s="44"/>
      <c r="D34" s="44"/>
      <c r="E34" s="44"/>
      <c r="F34" s="44"/>
      <c r="G34" s="44"/>
      <c r="H34" s="44"/>
      <c r="I34" s="44"/>
      <c r="J34" s="44"/>
      <c r="K34" s="44"/>
      <c r="L34" s="44"/>
      <c r="M34" s="44"/>
      <c r="N34" s="44"/>
      <c r="O34" s="44"/>
      <c r="P34" s="44"/>
      <c r="Q34" s="44"/>
      <c r="R34" s="44"/>
      <c r="S34" s="44"/>
    </row>
    <row r="35" spans="1:31" x14ac:dyDescent="0.25">
      <c r="A35" s="44"/>
      <c r="B35" s="44"/>
      <c r="C35" s="44"/>
      <c r="D35" s="44"/>
      <c r="E35" s="44"/>
      <c r="F35" s="44"/>
      <c r="G35" s="44"/>
      <c r="H35" s="44"/>
      <c r="I35" s="44"/>
      <c r="J35" s="44"/>
      <c r="K35" s="44"/>
      <c r="L35" s="44"/>
      <c r="M35" s="44"/>
      <c r="N35" s="44"/>
      <c r="O35" s="44"/>
      <c r="P35" s="44"/>
      <c r="Q35" s="44"/>
      <c r="R35" s="44"/>
      <c r="S35" s="44"/>
    </row>
    <row r="36" spans="1:31" x14ac:dyDescent="0.25">
      <c r="A36" s="44"/>
      <c r="B36" s="44"/>
      <c r="C36" s="44"/>
      <c r="D36" s="44"/>
      <c r="E36" s="44"/>
      <c r="F36" s="44"/>
      <c r="G36" s="44"/>
      <c r="H36" s="44"/>
      <c r="I36" s="44"/>
      <c r="J36" s="44"/>
      <c r="K36" s="44"/>
      <c r="L36" s="44"/>
      <c r="M36" s="44"/>
      <c r="N36" s="44"/>
      <c r="O36" s="44"/>
      <c r="P36" s="44"/>
      <c r="Q36" s="44"/>
      <c r="R36" s="44"/>
      <c r="S36" s="44"/>
    </row>
    <row r="37" spans="1:31" x14ac:dyDescent="0.25">
      <c r="A37" s="44"/>
      <c r="B37" s="44"/>
      <c r="C37" s="44"/>
      <c r="D37" s="44"/>
      <c r="E37" s="44"/>
      <c r="F37" s="44"/>
      <c r="G37" s="44"/>
      <c r="H37" s="44"/>
      <c r="I37" s="44"/>
      <c r="J37" s="44"/>
      <c r="K37" s="44"/>
      <c r="L37" s="44"/>
      <c r="M37" s="44"/>
      <c r="N37" s="44"/>
      <c r="O37" s="44"/>
      <c r="P37" s="44"/>
      <c r="Q37" s="44"/>
      <c r="R37" s="44"/>
      <c r="S37" s="44"/>
    </row>
    <row r="38" spans="1:31" x14ac:dyDescent="0.25">
      <c r="A38" s="44"/>
      <c r="B38" s="44"/>
      <c r="C38" s="296" t="s">
        <v>847</v>
      </c>
      <c r="D38" s="44"/>
      <c r="E38" s="44"/>
      <c r="F38" s="44"/>
      <c r="G38" s="44"/>
      <c r="H38" s="44"/>
      <c r="I38" s="44"/>
      <c r="J38" s="44"/>
      <c r="K38" s="44"/>
      <c r="L38" s="44"/>
      <c r="M38" s="44"/>
      <c r="N38" s="44"/>
      <c r="O38" s="44"/>
      <c r="P38" s="44"/>
      <c r="Q38" s="44"/>
      <c r="R38" s="44"/>
      <c r="S38" s="44"/>
    </row>
    <row r="39" spans="1:31" x14ac:dyDescent="0.25">
      <c r="A39" s="44"/>
      <c r="B39" s="44"/>
      <c r="C39" s="44"/>
      <c r="D39" s="44"/>
      <c r="E39" s="44"/>
      <c r="F39" s="44"/>
      <c r="G39" s="44"/>
      <c r="H39" s="44"/>
      <c r="I39" s="44"/>
      <c r="J39" s="44"/>
      <c r="K39" s="44"/>
      <c r="L39" s="44"/>
      <c r="M39" s="44"/>
      <c r="N39" s="44"/>
      <c r="O39" s="44"/>
      <c r="P39" s="44"/>
      <c r="Q39" s="44"/>
      <c r="R39" s="44"/>
      <c r="S39" s="44"/>
    </row>
    <row r="40" spans="1:31" x14ac:dyDescent="0.25">
      <c r="A40" s="44"/>
      <c r="B40" s="44"/>
      <c r="C40" s="44"/>
      <c r="D40" s="44"/>
      <c r="E40" s="44"/>
      <c r="F40" s="44"/>
      <c r="G40" s="44"/>
      <c r="H40" s="44"/>
      <c r="I40" s="44"/>
      <c r="J40" s="44"/>
      <c r="K40" s="44"/>
      <c r="L40" s="44"/>
      <c r="M40" s="44"/>
      <c r="N40" s="44"/>
      <c r="O40" s="44"/>
      <c r="P40" s="44"/>
      <c r="Q40" s="44"/>
      <c r="R40" s="44"/>
      <c r="S40" s="44"/>
    </row>
    <row r="43" spans="1:31" x14ac:dyDescent="0.25">
      <c r="AD43">
        <v>2000</v>
      </c>
      <c r="AE43" s="62" t="s">
        <v>851</v>
      </c>
    </row>
    <row r="44" spans="1:31" x14ac:dyDescent="0.25">
      <c r="V44" s="62"/>
    </row>
    <row r="45" spans="1:31" x14ac:dyDescent="0.25">
      <c r="X45" s="62" t="s">
        <v>853</v>
      </c>
      <c r="AD45">
        <f>AD43/F64</f>
        <v>60.006000600060013</v>
      </c>
      <c r="AE45" s="62" t="s">
        <v>852</v>
      </c>
    </row>
    <row r="46" spans="1:31" x14ac:dyDescent="0.25">
      <c r="X46">
        <f>0.0000000036</f>
        <v>3.6E-9</v>
      </c>
    </row>
    <row r="47" spans="1:31" x14ac:dyDescent="0.25">
      <c r="AD47">
        <f>AD45/X46</f>
        <v>16668333500.01667</v>
      </c>
      <c r="AE47" s="62" t="s">
        <v>854</v>
      </c>
    </row>
    <row r="48" spans="1:31" x14ac:dyDescent="0.25">
      <c r="S48" s="62"/>
    </row>
    <row r="49" spans="6:31" x14ac:dyDescent="0.25">
      <c r="AD49">
        <f>AD47/1000000</f>
        <v>16668.33350001667</v>
      </c>
      <c r="AE49" s="62" t="s">
        <v>855</v>
      </c>
    </row>
    <row r="51" spans="6:31" x14ac:dyDescent="0.25">
      <c r="S51" s="62"/>
    </row>
    <row r="63" spans="6:31" x14ac:dyDescent="0.25">
      <c r="K63">
        <v>1.05</v>
      </c>
      <c r="L63" s="62" t="s">
        <v>849</v>
      </c>
    </row>
    <row r="64" spans="6:31" x14ac:dyDescent="0.25">
      <c r="F64">
        <v>33.33</v>
      </c>
      <c r="G64" s="62" t="s">
        <v>848</v>
      </c>
    </row>
    <row r="67" spans="11:12" x14ac:dyDescent="0.25">
      <c r="K67">
        <f>K63/F64</f>
        <v>3.1503150315031508E-2</v>
      </c>
      <c r="L67" s="62" t="s">
        <v>850</v>
      </c>
    </row>
  </sheetData>
  <hyperlinks>
    <hyperlink ref="C38" r:id="rId1" display="../../../Users/panch/OneDrive/Escritorio/Master thesis/Info for master thesis/Hydrogen compressor information.pdf" xr:uid="{5A490501-8510-4A2F-82D3-56BB0EF76F1B}"/>
  </hyperlinks>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173</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172</v>
      </c>
      <c r="F7" s="25" t="s">
        <v>50</v>
      </c>
      <c r="G7" s="25" t="s">
        <v>46</v>
      </c>
      <c r="H7" s="25" t="s">
        <v>174</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175</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176</v>
      </c>
      <c r="G9" s="9" t="s">
        <v>54</v>
      </c>
      <c r="H9" s="9" t="s">
        <v>176</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H46" sqref="H46"/>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62" t="s">
        <v>275</v>
      </c>
      <c r="D3" s="362"/>
      <c r="E3" s="362"/>
      <c r="F3" s="362"/>
      <c r="G3" s="362"/>
      <c r="H3" s="362"/>
      <c r="I3" s="362"/>
      <c r="J3" s="362"/>
      <c r="K3" s="362"/>
      <c r="L3" s="362"/>
    </row>
    <row r="4" spans="2:18" ht="13.8" thickBot="1" x14ac:dyDescent="0.3">
      <c r="B4" s="100" t="s">
        <v>206</v>
      </c>
      <c r="C4" s="101">
        <v>2020</v>
      </c>
      <c r="D4" s="101">
        <v>2030</v>
      </c>
      <c r="E4" s="101">
        <v>2040</v>
      </c>
      <c r="F4" s="101">
        <v>2050</v>
      </c>
      <c r="G4" s="102">
        <v>2020</v>
      </c>
      <c r="H4" s="102">
        <v>2020</v>
      </c>
      <c r="I4" s="102">
        <v>2050</v>
      </c>
      <c r="J4" s="102">
        <v>2050</v>
      </c>
      <c r="K4" s="103" t="s">
        <v>72</v>
      </c>
      <c r="L4" s="103" t="s">
        <v>73</v>
      </c>
    </row>
    <row r="5" spans="2:18" ht="13.8" thickBot="1" x14ac:dyDescent="0.3">
      <c r="B5" s="97" t="s">
        <v>207</v>
      </c>
      <c r="C5" s="102" t="s">
        <v>208</v>
      </c>
      <c r="D5" s="102" t="s">
        <v>208</v>
      </c>
      <c r="E5" s="102" t="s">
        <v>208</v>
      </c>
      <c r="F5" s="102" t="s">
        <v>208</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125</v>
      </c>
      <c r="N6" t="s">
        <v>126</v>
      </c>
    </row>
    <row r="7" spans="2:18" ht="13.8" thickBot="1" x14ac:dyDescent="0.3">
      <c r="B7" s="109" t="s">
        <v>124</v>
      </c>
      <c r="C7" s="110">
        <v>229</v>
      </c>
      <c r="D7" s="111">
        <f>+C7*2</f>
        <v>458</v>
      </c>
      <c r="E7" s="111">
        <f>+D7*2</f>
        <v>916</v>
      </c>
      <c r="F7" s="111">
        <f>+D7*5</f>
        <v>2290</v>
      </c>
      <c r="G7" s="112">
        <v>1</v>
      </c>
      <c r="H7" s="113">
        <v>1</v>
      </c>
      <c r="I7" s="113">
        <v>1</v>
      </c>
      <c r="J7" s="113">
        <v>1</v>
      </c>
      <c r="K7" s="114" t="s">
        <v>78</v>
      </c>
      <c r="L7" s="107"/>
      <c r="M7">
        <v>130</v>
      </c>
      <c r="N7">
        <v>107000</v>
      </c>
      <c r="O7" t="s">
        <v>127</v>
      </c>
    </row>
    <row r="8" spans="2:18" ht="13.8" thickBot="1" x14ac:dyDescent="0.3">
      <c r="B8" s="109" t="s">
        <v>276</v>
      </c>
      <c r="C8" s="110">
        <v>50</v>
      </c>
      <c r="D8" s="111">
        <v>100</v>
      </c>
      <c r="E8" s="111">
        <v>200</v>
      </c>
      <c r="F8" s="111">
        <v>500</v>
      </c>
      <c r="G8" s="112">
        <v>1</v>
      </c>
      <c r="H8" s="113">
        <v>1</v>
      </c>
      <c r="I8" s="113">
        <v>1</v>
      </c>
      <c r="J8" s="113">
        <v>1</v>
      </c>
      <c r="K8" s="114"/>
      <c r="L8" s="107"/>
    </row>
    <row r="9" spans="2:18" ht="13.8" thickBot="1" x14ac:dyDescent="0.3">
      <c r="B9" s="108" t="s">
        <v>106</v>
      </c>
      <c r="C9" s="111"/>
      <c r="D9" s="111"/>
      <c r="E9" s="111"/>
      <c r="F9" s="111"/>
      <c r="G9" s="111"/>
      <c r="H9" s="111"/>
      <c r="I9" s="111"/>
      <c r="J9" s="111"/>
      <c r="K9" s="107"/>
      <c r="L9" s="107"/>
      <c r="M9">
        <v>53.6</v>
      </c>
      <c r="N9">
        <v>53.6</v>
      </c>
      <c r="O9" t="s">
        <v>129</v>
      </c>
    </row>
    <row r="10" spans="2:18" ht="13.8" thickBot="1" x14ac:dyDescent="0.3">
      <c r="B10" s="109" t="s">
        <v>277</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128</v>
      </c>
      <c r="M10" s="52">
        <v>1</v>
      </c>
      <c r="N10" s="52">
        <v>3.6999999999999998E-2</v>
      </c>
      <c r="O10" t="s">
        <v>130</v>
      </c>
    </row>
    <row r="11" spans="2:18" ht="15" thickBot="1" x14ac:dyDescent="0.35">
      <c r="B11" s="116" t="s">
        <v>278</v>
      </c>
      <c r="C11" s="117">
        <v>0.18</v>
      </c>
      <c r="D11" s="117">
        <v>0.18</v>
      </c>
      <c r="E11" s="117">
        <v>0.18</v>
      </c>
      <c r="F11" s="117">
        <v>0.18</v>
      </c>
      <c r="G11" s="112">
        <v>0.98</v>
      </c>
      <c r="H11" s="112">
        <v>1.02</v>
      </c>
      <c r="I11" s="112">
        <f t="shared" si="0"/>
        <v>0.98</v>
      </c>
      <c r="J11" s="112">
        <f t="shared" si="0"/>
        <v>1.02</v>
      </c>
      <c r="K11" s="107" t="s">
        <v>77</v>
      </c>
      <c r="L11" s="107" t="s">
        <v>128</v>
      </c>
      <c r="M11">
        <f>M7/M9*M10</f>
        <v>2.4253731343283582</v>
      </c>
      <c r="N11">
        <f>N7/N9*N10</f>
        <v>73.861940298507449</v>
      </c>
      <c r="O11" t="s">
        <v>131</v>
      </c>
      <c r="R11" s="53"/>
    </row>
    <row r="12" spans="2:18" ht="13.8" thickBot="1" x14ac:dyDescent="0.3">
      <c r="B12" s="116" t="s">
        <v>279</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128</v>
      </c>
    </row>
    <row r="13" spans="2:18" ht="15" thickBot="1" x14ac:dyDescent="0.35">
      <c r="B13" s="109" t="s">
        <v>280</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128</v>
      </c>
      <c r="M13" s="54">
        <f>M11*28</f>
        <v>67.910447761194035</v>
      </c>
      <c r="N13">
        <f>N11*28</f>
        <v>2068.1343283582087</v>
      </c>
      <c r="O13" t="s">
        <v>132</v>
      </c>
    </row>
    <row r="14" spans="2:18" ht="13.8" thickBot="1" x14ac:dyDescent="0.3">
      <c r="B14" s="108" t="s">
        <v>107</v>
      </c>
      <c r="C14" s="115"/>
      <c r="D14" s="115"/>
      <c r="E14" s="115"/>
      <c r="F14" s="115"/>
      <c r="G14" s="112"/>
      <c r="H14" s="112"/>
      <c r="I14" s="112"/>
      <c r="J14" s="112"/>
      <c r="K14" s="107"/>
      <c r="L14" s="107"/>
    </row>
    <row r="15" spans="2:18" ht="13.8" thickBot="1" x14ac:dyDescent="0.3">
      <c r="B15" s="109" t="s">
        <v>281</v>
      </c>
      <c r="C15" s="118">
        <v>0.82299999999999995</v>
      </c>
      <c r="D15" s="118">
        <v>0.82299999999999995</v>
      </c>
      <c r="E15" s="118">
        <v>0.82299999999999995</v>
      </c>
      <c r="F15" s="118">
        <v>0.82299999999999995</v>
      </c>
      <c r="G15" s="112">
        <v>0.98</v>
      </c>
      <c r="H15" s="112">
        <v>1.02</v>
      </c>
      <c r="I15" s="112">
        <f>+G15</f>
        <v>0.98</v>
      </c>
      <c r="J15" s="112">
        <f>+H15</f>
        <v>1.02</v>
      </c>
      <c r="K15" s="107"/>
      <c r="L15" s="107" t="s">
        <v>128</v>
      </c>
    </row>
    <row r="16" spans="2:18" ht="13.8" thickBot="1" x14ac:dyDescent="0.3">
      <c r="B16" s="109" t="s">
        <v>282</v>
      </c>
      <c r="C16" s="118">
        <v>0.108</v>
      </c>
      <c r="D16" s="115">
        <v>0.108</v>
      </c>
      <c r="E16" s="115">
        <v>0.108</v>
      </c>
      <c r="F16" s="115">
        <v>0.108</v>
      </c>
      <c r="G16" s="112">
        <v>0.98</v>
      </c>
      <c r="H16" s="112">
        <v>1.02</v>
      </c>
      <c r="I16" s="112">
        <f>+G16</f>
        <v>0.98</v>
      </c>
      <c r="J16" s="112">
        <f>+H16</f>
        <v>1.02</v>
      </c>
      <c r="K16" s="107" t="s">
        <v>90</v>
      </c>
      <c r="L16" s="107" t="s">
        <v>128</v>
      </c>
    </row>
    <row r="17" spans="2:17" ht="13.8" thickBot="1" x14ac:dyDescent="0.3">
      <c r="B17" s="109" t="s">
        <v>283</v>
      </c>
      <c r="C17" s="118">
        <v>3.7999999999999999E-2</v>
      </c>
      <c r="D17" s="118">
        <v>3.7999999999999999E-2</v>
      </c>
      <c r="E17" s="118">
        <v>3.7999999999999999E-2</v>
      </c>
      <c r="F17" s="118">
        <v>3.7999999999999999E-2</v>
      </c>
      <c r="G17" s="112">
        <v>0</v>
      </c>
      <c r="H17" s="112">
        <v>1</v>
      </c>
      <c r="I17" s="112">
        <v>0</v>
      </c>
      <c r="J17" s="112">
        <v>1</v>
      </c>
      <c r="K17" s="107" t="s">
        <v>58</v>
      </c>
      <c r="L17" s="107" t="s">
        <v>128</v>
      </c>
    </row>
    <row r="18" spans="2:17" ht="13.8" thickBot="1" x14ac:dyDescent="0.3">
      <c r="B18" s="109"/>
      <c r="C18" s="118"/>
      <c r="D18" s="118"/>
      <c r="E18" s="118"/>
      <c r="F18" s="118"/>
      <c r="G18" s="112"/>
      <c r="H18" s="112"/>
      <c r="I18" s="112"/>
      <c r="J18" s="112"/>
      <c r="K18" s="107"/>
      <c r="L18" s="107"/>
    </row>
    <row r="19" spans="2:17" ht="13.8" thickBot="1" x14ac:dyDescent="0.3">
      <c r="B19" s="116" t="s">
        <v>284</v>
      </c>
      <c r="C19" s="112">
        <v>0.05</v>
      </c>
      <c r="D19" s="112">
        <v>0.03</v>
      </c>
      <c r="E19" s="112">
        <v>0.03</v>
      </c>
      <c r="F19" s="112">
        <v>0.02</v>
      </c>
      <c r="G19" s="112">
        <v>0.02</v>
      </c>
      <c r="H19" s="112">
        <v>0.08</v>
      </c>
      <c r="I19" s="112">
        <v>0.02</v>
      </c>
      <c r="J19" s="112">
        <v>0.04</v>
      </c>
      <c r="K19" s="107"/>
      <c r="L19" s="107" t="s">
        <v>133</v>
      </c>
    </row>
    <row r="20" spans="2:17" ht="13.8" thickBot="1" x14ac:dyDescent="0.3">
      <c r="B20" s="109" t="s">
        <v>216</v>
      </c>
      <c r="C20" s="112">
        <v>0.03</v>
      </c>
      <c r="D20" s="112">
        <v>0.03</v>
      </c>
      <c r="E20" s="112">
        <v>0.03</v>
      </c>
      <c r="F20" s="112">
        <v>0.03</v>
      </c>
      <c r="G20" s="112"/>
      <c r="H20" s="112"/>
      <c r="I20" s="112"/>
      <c r="J20" s="112"/>
      <c r="K20" s="107"/>
      <c r="L20" s="107" t="s">
        <v>133</v>
      </c>
    </row>
    <row r="21" spans="2:17" ht="13.8" thickBot="1" x14ac:dyDescent="0.3">
      <c r="B21" s="116" t="s">
        <v>134</v>
      </c>
      <c r="C21" s="112" t="s">
        <v>135</v>
      </c>
      <c r="D21" s="112" t="s">
        <v>135</v>
      </c>
      <c r="E21" s="112" t="s">
        <v>135</v>
      </c>
      <c r="F21" s="112" t="s">
        <v>135</v>
      </c>
      <c r="G21" s="112">
        <v>0.28999999999999998</v>
      </c>
      <c r="H21" s="112">
        <v>1</v>
      </c>
      <c r="I21" s="112">
        <v>0.2</v>
      </c>
      <c r="J21" s="112">
        <v>1</v>
      </c>
      <c r="K21" s="107"/>
      <c r="L21" s="107" t="s">
        <v>136</v>
      </c>
    </row>
    <row r="22" spans="2:17" ht="15" thickBot="1" x14ac:dyDescent="0.35">
      <c r="B22" s="109" t="s">
        <v>217</v>
      </c>
      <c r="C22" s="111">
        <v>30</v>
      </c>
      <c r="D22" s="111">
        <v>30</v>
      </c>
      <c r="E22" s="111">
        <v>30</v>
      </c>
      <c r="F22" s="111">
        <v>30</v>
      </c>
      <c r="G22" s="111"/>
      <c r="H22" s="111"/>
      <c r="I22" s="111"/>
      <c r="J22" s="111"/>
      <c r="K22" s="107"/>
      <c r="L22" s="107"/>
      <c r="M22" s="53"/>
    </row>
    <row r="23" spans="2:17" ht="15" thickBot="1" x14ac:dyDescent="0.35">
      <c r="B23" s="109" t="s">
        <v>218</v>
      </c>
      <c r="C23" s="111">
        <v>2</v>
      </c>
      <c r="D23" s="111">
        <v>2</v>
      </c>
      <c r="E23" s="111">
        <v>2</v>
      </c>
      <c r="F23" s="111">
        <v>2</v>
      </c>
      <c r="G23" s="111"/>
      <c r="H23" s="111"/>
      <c r="I23" s="111"/>
      <c r="J23" s="111"/>
      <c r="K23" s="107"/>
      <c r="L23" s="107"/>
      <c r="M23" s="53"/>
    </row>
    <row r="24" spans="2:17" ht="13.8" thickBot="1" x14ac:dyDescent="0.3">
      <c r="B24" s="108" t="s">
        <v>227</v>
      </c>
      <c r="C24" s="111"/>
      <c r="D24" s="111"/>
      <c r="E24" s="111"/>
      <c r="F24" s="111"/>
      <c r="G24" s="111"/>
      <c r="H24" s="111"/>
      <c r="I24" s="111"/>
      <c r="J24" s="111"/>
      <c r="K24" s="107"/>
      <c r="L24" s="107"/>
    </row>
    <row r="25" spans="2:17" ht="15" thickBot="1" x14ac:dyDescent="0.35">
      <c r="B25" s="109" t="s">
        <v>285</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137</v>
      </c>
      <c r="L25" s="107" t="s">
        <v>133</v>
      </c>
      <c r="M25" s="53"/>
    </row>
    <row r="26" spans="2:17" ht="13.8" thickBot="1" x14ac:dyDescent="0.3">
      <c r="B26" s="109" t="s">
        <v>286</v>
      </c>
      <c r="C26" s="111">
        <v>53.169999999999995</v>
      </c>
      <c r="D26" s="111">
        <v>53.169999999999995</v>
      </c>
      <c r="E26" s="111">
        <v>53.169999999999995</v>
      </c>
      <c r="F26" s="111">
        <v>53.169999999999995</v>
      </c>
      <c r="G26" s="113">
        <v>0</v>
      </c>
      <c r="H26" s="113">
        <v>0</v>
      </c>
      <c r="I26" s="113">
        <v>0</v>
      </c>
      <c r="J26" s="113">
        <v>0</v>
      </c>
      <c r="K26" s="107">
        <v>0</v>
      </c>
      <c r="L26" s="107" t="s">
        <v>133</v>
      </c>
    </row>
    <row r="27" spans="2:17" ht="13.8" thickBot="1" x14ac:dyDescent="0.3">
      <c r="B27" s="109" t="s">
        <v>287</v>
      </c>
      <c r="C27" s="111">
        <v>53.169999999999995</v>
      </c>
      <c r="D27" s="111">
        <v>53.169999999999995</v>
      </c>
      <c r="E27" s="111">
        <v>53.169999999999995</v>
      </c>
      <c r="F27" s="111">
        <v>53.169999999999995</v>
      </c>
      <c r="G27" s="113">
        <v>0</v>
      </c>
      <c r="H27" s="113">
        <v>0</v>
      </c>
      <c r="I27" s="113">
        <v>0</v>
      </c>
      <c r="J27" s="113">
        <v>0</v>
      </c>
      <c r="K27" s="107">
        <v>0</v>
      </c>
      <c r="L27" s="107" t="s">
        <v>133</v>
      </c>
    </row>
    <row r="28" spans="2:17" ht="13.8" thickBot="1" x14ac:dyDescent="0.3">
      <c r="B28" s="109" t="s">
        <v>288</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133</v>
      </c>
    </row>
    <row r="29" spans="2:17" ht="15" thickBot="1" x14ac:dyDescent="0.35">
      <c r="B29" s="109" t="s">
        <v>289</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133</v>
      </c>
      <c r="M29" s="53"/>
    </row>
    <row r="30" spans="2:17" ht="13.8" thickBot="1" x14ac:dyDescent="0.3">
      <c r="B30" s="109" t="s">
        <v>290</v>
      </c>
      <c r="C30" s="111" t="s">
        <v>138</v>
      </c>
      <c r="D30" s="111" t="s">
        <v>138</v>
      </c>
      <c r="E30" s="111" t="s">
        <v>138</v>
      </c>
      <c r="F30" s="111" t="s">
        <v>138</v>
      </c>
      <c r="G30" s="113">
        <v>0</v>
      </c>
      <c r="H30" s="113">
        <v>0</v>
      </c>
      <c r="I30" s="113">
        <v>0</v>
      </c>
      <c r="J30" s="113">
        <v>0</v>
      </c>
      <c r="K30" s="107">
        <v>0</v>
      </c>
      <c r="L30" s="107"/>
    </row>
    <row r="31" spans="2:17" ht="13.8" thickBot="1" x14ac:dyDescent="0.3">
      <c r="B31" s="108" t="s">
        <v>240</v>
      </c>
      <c r="C31" s="111"/>
      <c r="D31" s="111"/>
      <c r="E31" s="111"/>
      <c r="F31" s="111"/>
      <c r="G31" s="113"/>
      <c r="H31" s="113"/>
      <c r="I31" s="113"/>
      <c r="J31" s="113"/>
      <c r="K31" s="107"/>
      <c r="L31" s="107"/>
      <c r="P31">
        <f>M33*0.0000036</f>
        <v>1.8899999999999999E-5</v>
      </c>
      <c r="Q31" t="s">
        <v>574</v>
      </c>
    </row>
    <row r="32" spans="2:17" ht="13.8" thickBot="1" x14ac:dyDescent="0.3">
      <c r="B32" s="123" t="s">
        <v>139</v>
      </c>
      <c r="C32" s="110">
        <v>1.0900000000000001</v>
      </c>
      <c r="D32" s="110">
        <v>1.0900000000000001</v>
      </c>
      <c r="E32" s="110">
        <v>1.0900000000000001</v>
      </c>
      <c r="F32" s="110">
        <v>1.0900000000000001</v>
      </c>
      <c r="G32" s="124">
        <v>0.97</v>
      </c>
      <c r="H32" s="124">
        <v>1</v>
      </c>
      <c r="I32" s="124">
        <v>0.97</v>
      </c>
      <c r="J32" s="124">
        <v>1</v>
      </c>
      <c r="K32" s="125" t="s">
        <v>84</v>
      </c>
      <c r="L32" s="107" t="s">
        <v>133</v>
      </c>
    </row>
    <row r="33" spans="2:14" ht="13.8" thickBot="1" x14ac:dyDescent="0.3">
      <c r="B33" s="109" t="s">
        <v>291</v>
      </c>
      <c r="C33" s="111">
        <v>18.899999999999999</v>
      </c>
      <c r="D33" s="111">
        <v>18.899999999999999</v>
      </c>
      <c r="E33" s="111">
        <v>18.899999999999999</v>
      </c>
      <c r="F33" s="111">
        <v>18.899999999999999</v>
      </c>
      <c r="G33" s="113"/>
      <c r="H33" s="113"/>
      <c r="I33" s="113"/>
      <c r="J33" s="113"/>
      <c r="K33" s="107"/>
      <c r="L33" s="107"/>
      <c r="M33">
        <v>5.25</v>
      </c>
      <c r="N33" t="s">
        <v>518</v>
      </c>
    </row>
    <row r="34" spans="2:14" ht="13.8" thickBot="1" x14ac:dyDescent="0.3">
      <c r="B34" s="109" t="s">
        <v>292</v>
      </c>
      <c r="C34" s="111">
        <v>626</v>
      </c>
      <c r="D34" s="111">
        <v>626</v>
      </c>
      <c r="E34" s="111">
        <v>626</v>
      </c>
      <c r="F34" s="111">
        <v>626</v>
      </c>
      <c r="G34" s="113"/>
      <c r="H34" s="113"/>
      <c r="I34" s="113"/>
      <c r="J34" s="113"/>
      <c r="K34" s="107"/>
      <c r="L34" s="107"/>
    </row>
    <row r="35" spans="2:14" ht="13.8" thickBot="1" x14ac:dyDescent="0.3">
      <c r="B35" s="109" t="s">
        <v>293</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140</v>
      </c>
      <c r="L35" s="107" t="s">
        <v>133</v>
      </c>
    </row>
    <row r="36" spans="2:14" ht="13.8" thickBot="1" x14ac:dyDescent="0.3">
      <c r="B36" s="109" t="s">
        <v>294</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133</v>
      </c>
    </row>
    <row r="37" spans="2:14" ht="15" thickBot="1" x14ac:dyDescent="0.35">
      <c r="B37" s="109" t="s">
        <v>295</v>
      </c>
      <c r="C37" s="115">
        <v>0.1</v>
      </c>
      <c r="D37" s="115">
        <v>0.1</v>
      </c>
      <c r="E37" s="115">
        <v>0.1</v>
      </c>
      <c r="F37" s="115">
        <v>0.1</v>
      </c>
      <c r="G37" s="115">
        <v>0.05</v>
      </c>
      <c r="H37" s="115">
        <v>0.2</v>
      </c>
      <c r="I37" s="115">
        <v>0.05</v>
      </c>
      <c r="J37" s="115">
        <v>0.2</v>
      </c>
      <c r="K37" s="107"/>
      <c r="L37" s="107" t="s">
        <v>133</v>
      </c>
      <c r="M37" s="53"/>
    </row>
    <row r="38" spans="2:14" ht="13.8" thickBot="1" x14ac:dyDescent="0.3">
      <c r="B38" s="109" t="s">
        <v>296</v>
      </c>
      <c r="C38" s="111" t="s">
        <v>138</v>
      </c>
      <c r="D38" s="111" t="s">
        <v>138</v>
      </c>
      <c r="E38" s="111" t="s">
        <v>138</v>
      </c>
      <c r="F38" s="111" t="s">
        <v>138</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141</v>
      </c>
      <c r="C41" s="93"/>
      <c r="D41" s="93"/>
      <c r="E41" s="93"/>
      <c r="F41" s="93"/>
      <c r="G41" s="93"/>
      <c r="H41" s="93"/>
      <c r="I41" s="93"/>
      <c r="J41" s="93"/>
      <c r="K41" s="93"/>
      <c r="L41" s="93"/>
    </row>
    <row r="42" spans="2:14" ht="14.4" thickTop="1" thickBot="1" x14ac:dyDescent="0.3">
      <c r="B42" s="95" t="s">
        <v>142</v>
      </c>
      <c r="C42" s="93"/>
      <c r="D42" s="93"/>
      <c r="E42" s="93"/>
      <c r="F42" s="93"/>
      <c r="G42" s="93"/>
      <c r="H42" s="93"/>
      <c r="I42" s="93"/>
      <c r="J42" s="93"/>
      <c r="K42" s="93"/>
      <c r="L42" s="93"/>
    </row>
    <row r="43" spans="2:14" ht="14.4" thickTop="1" thickBot="1" x14ac:dyDescent="0.3">
      <c r="B43" s="96" t="s">
        <v>143</v>
      </c>
      <c r="C43" s="93"/>
      <c r="D43" s="93"/>
      <c r="E43" s="93"/>
      <c r="F43" s="93"/>
      <c r="G43" s="93"/>
      <c r="H43" s="93"/>
      <c r="I43" s="93"/>
      <c r="J43" s="93"/>
      <c r="K43" s="93"/>
      <c r="L43" s="93"/>
    </row>
    <row r="44" spans="2:14" ht="14.4" thickTop="1" thickBot="1" x14ac:dyDescent="0.3">
      <c r="B44" s="95" t="s">
        <v>144</v>
      </c>
      <c r="C44" s="93"/>
      <c r="D44" s="93"/>
      <c r="E44" s="93"/>
      <c r="F44" s="93"/>
      <c r="G44" s="93"/>
      <c r="H44" s="93"/>
      <c r="I44" s="93"/>
      <c r="J44" s="93"/>
      <c r="K44" s="93"/>
      <c r="L44" s="93"/>
    </row>
    <row r="45" spans="2:14" ht="14.4" thickTop="1" thickBot="1" x14ac:dyDescent="0.3">
      <c r="B45" s="95" t="s">
        <v>297</v>
      </c>
      <c r="C45" s="93"/>
      <c r="D45" s="93"/>
      <c r="E45" s="93"/>
      <c r="F45" s="93"/>
      <c r="G45" s="93"/>
      <c r="H45" s="93"/>
      <c r="I45" s="93"/>
      <c r="J45" s="93"/>
      <c r="K45" s="93"/>
      <c r="L45" s="93"/>
    </row>
    <row r="46" spans="2:14" ht="14.4" thickTop="1" thickBot="1" x14ac:dyDescent="0.3">
      <c r="B46" s="96" t="s">
        <v>145</v>
      </c>
      <c r="C46" s="93"/>
      <c r="D46" s="93"/>
      <c r="E46" s="93"/>
      <c r="F46" s="93"/>
      <c r="G46" s="93"/>
      <c r="H46" s="93"/>
      <c r="I46" s="93"/>
      <c r="J46" s="93"/>
      <c r="K46" s="93"/>
      <c r="L46" s="93"/>
    </row>
    <row r="47" spans="2:14" ht="14.4" thickTop="1" thickBot="1" x14ac:dyDescent="0.3">
      <c r="B47" s="95" t="s">
        <v>146</v>
      </c>
      <c r="C47" s="93"/>
      <c r="D47" s="93"/>
      <c r="E47" s="93"/>
      <c r="F47" s="93"/>
      <c r="G47" s="93"/>
      <c r="H47" s="93"/>
      <c r="I47" s="93"/>
      <c r="J47" s="93"/>
      <c r="K47" s="93"/>
      <c r="L47" s="93"/>
    </row>
    <row r="48" spans="2:14" ht="14.4" thickTop="1" thickBot="1" x14ac:dyDescent="0.3">
      <c r="B48" s="95" t="s">
        <v>147</v>
      </c>
      <c r="C48" s="93"/>
      <c r="D48" s="93"/>
      <c r="E48" s="93"/>
      <c r="F48" s="93"/>
      <c r="G48" s="93"/>
      <c r="H48" s="93"/>
      <c r="I48" s="93"/>
      <c r="J48" s="93"/>
      <c r="K48" s="93"/>
      <c r="L48" s="93"/>
    </row>
    <row r="49" spans="2:19" ht="14.4" thickTop="1" thickBot="1" x14ac:dyDescent="0.3">
      <c r="B49" s="95" t="s">
        <v>148</v>
      </c>
      <c r="C49" s="93"/>
      <c r="D49" s="93"/>
      <c r="E49" s="93"/>
      <c r="F49" s="93"/>
      <c r="G49" s="93"/>
      <c r="H49" s="93"/>
      <c r="I49" s="93"/>
      <c r="J49" s="93"/>
      <c r="K49" s="93"/>
      <c r="L49" s="93"/>
    </row>
    <row r="50" spans="2:19" ht="14.4" thickTop="1" thickBot="1" x14ac:dyDescent="0.3">
      <c r="B50" s="95" t="s">
        <v>149</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150</v>
      </c>
      <c r="C53" s="93"/>
      <c r="D53" s="93"/>
      <c r="E53" s="93"/>
      <c r="F53" s="93"/>
      <c r="G53" s="93"/>
      <c r="H53" s="93"/>
      <c r="I53" s="93"/>
      <c r="J53" s="93"/>
      <c r="K53" s="93"/>
      <c r="L53" s="93"/>
    </row>
    <row r="54" spans="2:19" ht="14.4" thickTop="1" thickBot="1" x14ac:dyDescent="0.3">
      <c r="B54" s="95" t="s">
        <v>151</v>
      </c>
      <c r="C54" s="93"/>
      <c r="D54" s="93"/>
      <c r="E54" s="93"/>
      <c r="F54" s="93"/>
      <c r="G54" s="93"/>
      <c r="H54" s="93"/>
      <c r="I54" s="93"/>
      <c r="J54" s="93"/>
      <c r="K54" s="93"/>
      <c r="L54" s="93"/>
    </row>
    <row r="55" spans="2:19" ht="14.4" thickTop="1" thickBot="1" x14ac:dyDescent="0.3">
      <c r="B55" s="95" t="s">
        <v>152</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63" t="s">
        <v>298</v>
      </c>
      <c r="D2" s="364"/>
      <c r="E2" s="364"/>
      <c r="F2" s="364"/>
      <c r="G2" s="364"/>
      <c r="H2" s="364"/>
      <c r="I2" s="364"/>
      <c r="J2" s="364"/>
      <c r="K2" s="364"/>
      <c r="L2" s="364"/>
      <c r="M2" s="364"/>
    </row>
    <row r="3" spans="2:22" ht="13.8" thickBot="1" x14ac:dyDescent="0.3">
      <c r="B3" s="100" t="s">
        <v>206</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207</v>
      </c>
      <c r="C4" s="102" t="s">
        <v>208</v>
      </c>
      <c r="D4" s="102" t="s">
        <v>208</v>
      </c>
      <c r="E4" s="102" t="s">
        <v>208</v>
      </c>
      <c r="F4" s="102" t="s">
        <v>208</v>
      </c>
      <c r="G4" s="102" t="s">
        <v>208</v>
      </c>
      <c r="H4" s="142" t="s">
        <v>75</v>
      </c>
      <c r="I4" s="142" t="s">
        <v>76</v>
      </c>
      <c r="J4" s="142" t="s">
        <v>75</v>
      </c>
      <c r="K4" s="142" t="s">
        <v>76</v>
      </c>
      <c r="L4" s="104" t="s">
        <v>85</v>
      </c>
      <c r="M4" s="104" t="s">
        <v>85</v>
      </c>
    </row>
    <row r="5" spans="2:22" ht="13.8" thickBot="1" x14ac:dyDescent="0.3">
      <c r="B5" s="105" t="s">
        <v>211</v>
      </c>
      <c r="C5" s="106"/>
      <c r="D5" s="106"/>
      <c r="E5" s="106"/>
      <c r="F5" s="106"/>
      <c r="G5" s="106"/>
      <c r="H5" s="106"/>
      <c r="I5" s="106"/>
      <c r="J5" s="106"/>
      <c r="K5" s="106"/>
      <c r="L5" s="107"/>
      <c r="M5" s="107"/>
      <c r="Q5">
        <f>Q8/U6</f>
        <v>5.5277777777777777</v>
      </c>
      <c r="R5" t="s">
        <v>419</v>
      </c>
      <c r="U5">
        <v>1</v>
      </c>
      <c r="V5" t="s">
        <v>420</v>
      </c>
    </row>
    <row r="6" spans="2:22" ht="13.8" thickBot="1" x14ac:dyDescent="0.3">
      <c r="B6" s="108" t="s">
        <v>74</v>
      </c>
      <c r="C6" s="106"/>
      <c r="D6" s="106"/>
      <c r="E6" s="106"/>
      <c r="F6" s="106"/>
      <c r="G6" s="106"/>
      <c r="H6" s="106"/>
      <c r="I6" s="106"/>
      <c r="J6" s="106"/>
      <c r="K6" s="106"/>
      <c r="L6" s="107"/>
      <c r="M6" s="107"/>
      <c r="U6">
        <v>3.5999999999999998E-6</v>
      </c>
      <c r="V6" t="s">
        <v>421</v>
      </c>
    </row>
    <row r="7" spans="2:22" ht="13.8" thickBot="1" x14ac:dyDescent="0.3">
      <c r="B7" s="109" t="s">
        <v>299</v>
      </c>
      <c r="C7" s="111">
        <v>300</v>
      </c>
      <c r="D7" s="111">
        <v>300</v>
      </c>
      <c r="E7" s="111">
        <v>600</v>
      </c>
      <c r="F7" s="111">
        <v>900</v>
      </c>
      <c r="G7" s="111">
        <v>1200</v>
      </c>
      <c r="H7" s="112"/>
      <c r="I7" s="113"/>
      <c r="J7" s="113"/>
      <c r="K7" s="113"/>
      <c r="L7" s="114" t="s">
        <v>78</v>
      </c>
      <c r="M7" s="107">
        <v>3</v>
      </c>
    </row>
    <row r="8" spans="2:22" ht="13.8" thickBot="1" x14ac:dyDescent="0.3">
      <c r="B8" s="109" t="s">
        <v>300</v>
      </c>
      <c r="C8" s="111">
        <v>69</v>
      </c>
      <c r="D8" s="111">
        <v>69</v>
      </c>
      <c r="E8" s="111">
        <v>138</v>
      </c>
      <c r="F8" s="111">
        <v>207</v>
      </c>
      <c r="G8" s="111">
        <v>276</v>
      </c>
      <c r="H8" s="112"/>
      <c r="I8" s="113"/>
      <c r="J8" s="113"/>
      <c r="K8" s="113"/>
      <c r="L8" s="114"/>
      <c r="M8" s="107"/>
      <c r="Q8">
        <f>0.0000199</f>
        <v>1.9899999999999999E-5</v>
      </c>
      <c r="R8" t="s">
        <v>418</v>
      </c>
    </row>
    <row r="9" spans="2:22" ht="13.8" thickBot="1" x14ac:dyDescent="0.3">
      <c r="B9" s="108" t="s">
        <v>106</v>
      </c>
      <c r="C9" s="111"/>
      <c r="D9" s="111"/>
      <c r="E9" s="111"/>
      <c r="F9" s="111"/>
      <c r="G9" s="111"/>
      <c r="H9" s="111"/>
      <c r="I9" s="111"/>
      <c r="J9" s="111"/>
      <c r="K9" s="111"/>
      <c r="L9" s="107"/>
      <c r="M9" s="107"/>
    </row>
    <row r="10" spans="2:22" ht="13.8" thickBot="1" x14ac:dyDescent="0.3">
      <c r="B10" s="143" t="s">
        <v>301</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302</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303</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304</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305</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107</v>
      </c>
      <c r="C15" s="111"/>
      <c r="D15" s="111"/>
      <c r="E15" s="111"/>
      <c r="F15" s="111"/>
      <c r="G15" s="111"/>
      <c r="H15" s="112"/>
      <c r="I15" s="112"/>
      <c r="J15" s="112"/>
      <c r="K15" s="112"/>
      <c r="L15" s="107"/>
      <c r="M15" s="107"/>
    </row>
    <row r="16" spans="2:22" ht="13.8" thickBot="1" x14ac:dyDescent="0.3">
      <c r="B16" s="143" t="s">
        <v>306</v>
      </c>
      <c r="C16" s="145">
        <v>0.78</v>
      </c>
      <c r="D16" s="145">
        <v>0.78</v>
      </c>
      <c r="E16" s="145">
        <v>0.78</v>
      </c>
      <c r="F16" s="145">
        <v>0.78</v>
      </c>
      <c r="G16" s="145">
        <v>0.78</v>
      </c>
      <c r="H16" s="112">
        <v>1</v>
      </c>
      <c r="I16" s="112">
        <v>1.1000000000000001</v>
      </c>
      <c r="J16" s="112">
        <v>1</v>
      </c>
      <c r="K16" s="112">
        <v>1.1000000000000001</v>
      </c>
      <c r="L16" s="146" t="s">
        <v>91</v>
      </c>
      <c r="M16" s="107"/>
      <c r="P16" t="s">
        <v>416</v>
      </c>
    </row>
    <row r="17" spans="2:13" ht="13.8" thickBot="1" x14ac:dyDescent="0.3">
      <c r="B17" s="143" t="s">
        <v>307</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308</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309</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310</v>
      </c>
      <c r="C20" s="122">
        <v>5</v>
      </c>
      <c r="D20" s="122">
        <v>4</v>
      </c>
      <c r="E20" s="122">
        <v>3</v>
      </c>
      <c r="F20" s="122">
        <v>3</v>
      </c>
      <c r="G20" s="122">
        <v>2</v>
      </c>
      <c r="H20" s="112"/>
      <c r="I20" s="112"/>
      <c r="J20" s="112"/>
      <c r="K20" s="112"/>
      <c r="L20" s="122"/>
      <c r="M20" s="107"/>
    </row>
    <row r="21" spans="2:13" ht="13.8" thickBot="1" x14ac:dyDescent="0.3">
      <c r="B21" s="109" t="s">
        <v>216</v>
      </c>
      <c r="C21" s="122">
        <v>3</v>
      </c>
      <c r="D21" s="122">
        <v>3</v>
      </c>
      <c r="E21" s="122">
        <v>3</v>
      </c>
      <c r="F21" s="122">
        <v>3</v>
      </c>
      <c r="G21" s="122">
        <v>3</v>
      </c>
      <c r="H21" s="112"/>
      <c r="I21" s="112"/>
      <c r="J21" s="112"/>
      <c r="K21" s="112"/>
      <c r="L21" s="122"/>
      <c r="M21" s="107"/>
    </row>
    <row r="22" spans="2:13" ht="13.8" thickBot="1" x14ac:dyDescent="0.3">
      <c r="B22" s="109" t="s">
        <v>217</v>
      </c>
      <c r="C22" s="122">
        <v>30</v>
      </c>
      <c r="D22" s="122">
        <v>30</v>
      </c>
      <c r="E22" s="122">
        <v>30</v>
      </c>
      <c r="F22" s="122">
        <v>30</v>
      </c>
      <c r="G22" s="122">
        <v>30</v>
      </c>
      <c r="H22" s="111"/>
      <c r="I22" s="111"/>
      <c r="J22" s="111"/>
      <c r="K22" s="111"/>
      <c r="L22" s="107"/>
      <c r="M22" s="107"/>
    </row>
    <row r="23" spans="2:13" ht="13.8" thickBot="1" x14ac:dyDescent="0.3">
      <c r="B23" s="109" t="s">
        <v>218</v>
      </c>
      <c r="C23" s="122">
        <v>2</v>
      </c>
      <c r="D23" s="122">
        <v>2</v>
      </c>
      <c r="E23" s="122">
        <v>2</v>
      </c>
      <c r="F23" s="122">
        <v>2</v>
      </c>
      <c r="G23" s="122">
        <v>2</v>
      </c>
      <c r="H23" s="111"/>
      <c r="I23" s="111"/>
      <c r="J23" s="111"/>
      <c r="K23" s="111"/>
      <c r="L23" s="107"/>
      <c r="M23" s="107"/>
    </row>
    <row r="24" spans="2:13" ht="13.8" thickBot="1" x14ac:dyDescent="0.3">
      <c r="B24" s="108" t="s">
        <v>227</v>
      </c>
      <c r="C24" s="111"/>
      <c r="D24" s="111"/>
      <c r="E24" s="111"/>
      <c r="F24" s="111"/>
      <c r="G24" s="111"/>
      <c r="H24" s="111"/>
      <c r="I24" s="111"/>
      <c r="J24" s="111"/>
      <c r="K24" s="111"/>
      <c r="L24" s="107"/>
      <c r="M24" s="107"/>
    </row>
    <row r="25" spans="2:13" ht="13.8" thickBot="1" x14ac:dyDescent="0.3">
      <c r="B25" s="350" t="s">
        <v>843</v>
      </c>
      <c r="C25" s="351">
        <v>1.3459296482412062</v>
      </c>
      <c r="D25" s="351">
        <v>1.3459296482412062</v>
      </c>
      <c r="E25" s="351">
        <v>1.085427135678392</v>
      </c>
      <c r="F25" s="351">
        <v>0.95517587939698501</v>
      </c>
      <c r="G25" s="351">
        <v>0.86834170854271364</v>
      </c>
      <c r="H25" s="113">
        <v>0.53169999999999995</v>
      </c>
      <c r="I25" s="113">
        <v>1.5951</v>
      </c>
      <c r="J25" s="113">
        <v>0.53169999999999995</v>
      </c>
      <c r="K25" s="113">
        <v>1.5951</v>
      </c>
      <c r="L25" s="107" t="s">
        <v>94</v>
      </c>
      <c r="M25" s="107">
        <v>1</v>
      </c>
    </row>
    <row r="26" spans="2:13" ht="13.8" thickBot="1" x14ac:dyDescent="0.3">
      <c r="B26" s="350" t="s">
        <v>286</v>
      </c>
      <c r="C26" s="352">
        <v>85</v>
      </c>
      <c r="D26" s="352">
        <v>85</v>
      </c>
      <c r="E26" s="352">
        <v>85</v>
      </c>
      <c r="F26" s="352">
        <v>85</v>
      </c>
      <c r="G26" s="352">
        <v>85</v>
      </c>
      <c r="H26" s="113">
        <v>0</v>
      </c>
      <c r="I26" s="113">
        <v>0</v>
      </c>
      <c r="J26" s="113">
        <v>0</v>
      </c>
      <c r="K26" s="113">
        <v>0</v>
      </c>
      <c r="L26" s="107"/>
      <c r="M26" s="107"/>
    </row>
    <row r="27" spans="2:13" ht="13.8" thickBot="1" x14ac:dyDescent="0.3">
      <c r="B27" s="350" t="s">
        <v>287</v>
      </c>
      <c r="C27" s="352">
        <v>15</v>
      </c>
      <c r="D27" s="352">
        <v>15</v>
      </c>
      <c r="E27" s="352">
        <v>15</v>
      </c>
      <c r="F27" s="352">
        <v>15</v>
      </c>
      <c r="G27" s="352">
        <v>15</v>
      </c>
      <c r="H27" s="113">
        <v>0</v>
      </c>
      <c r="I27" s="113">
        <v>0</v>
      </c>
      <c r="J27" s="113">
        <v>0</v>
      </c>
      <c r="K27" s="113">
        <v>0</v>
      </c>
      <c r="L27" s="107"/>
      <c r="M27" s="107"/>
    </row>
    <row r="28" spans="2:13" ht="13.8" thickBot="1" x14ac:dyDescent="0.3">
      <c r="B28" s="350" t="s">
        <v>844</v>
      </c>
      <c r="C28" s="353">
        <v>39.075376884422099</v>
      </c>
      <c r="D28" s="353">
        <v>39.075376884422113</v>
      </c>
      <c r="E28" s="353">
        <v>30.391959798994979</v>
      </c>
      <c r="F28" s="353">
        <v>30.391959798994979</v>
      </c>
      <c r="G28" s="353">
        <v>26.050251256281406</v>
      </c>
      <c r="H28" s="113">
        <v>0</v>
      </c>
      <c r="I28" s="113">
        <v>0</v>
      </c>
      <c r="J28" s="113">
        <v>0</v>
      </c>
      <c r="K28" s="113">
        <v>0</v>
      </c>
      <c r="L28" s="107" t="s">
        <v>86</v>
      </c>
      <c r="M28" s="107">
        <v>1</v>
      </c>
    </row>
    <row r="29" spans="2:13" ht="13.8" thickBot="1" x14ac:dyDescent="0.3">
      <c r="B29" s="350" t="s">
        <v>845</v>
      </c>
      <c r="C29" s="353">
        <v>0</v>
      </c>
      <c r="D29" s="353">
        <v>0</v>
      </c>
      <c r="E29" s="353">
        <v>0</v>
      </c>
      <c r="F29" s="353">
        <v>0</v>
      </c>
      <c r="G29" s="353">
        <v>0</v>
      </c>
      <c r="H29" s="113">
        <v>0</v>
      </c>
      <c r="I29" s="113">
        <v>0</v>
      </c>
      <c r="J29" s="113">
        <v>0</v>
      </c>
      <c r="K29" s="113">
        <v>0</v>
      </c>
      <c r="L29" s="107" t="s">
        <v>59</v>
      </c>
      <c r="M29" s="107"/>
    </row>
    <row r="30" spans="2:13" ht="13.8" thickBot="1" x14ac:dyDescent="0.3">
      <c r="B30" s="350" t="s">
        <v>846</v>
      </c>
      <c r="C30" s="352">
        <v>0</v>
      </c>
      <c r="D30" s="352">
        <v>0</v>
      </c>
      <c r="E30" s="352">
        <v>0</v>
      </c>
      <c r="F30" s="352">
        <v>0</v>
      </c>
      <c r="G30" s="352">
        <v>0</v>
      </c>
      <c r="H30" s="113">
        <v>0</v>
      </c>
      <c r="I30" s="113">
        <v>0</v>
      </c>
      <c r="J30" s="113">
        <v>0</v>
      </c>
      <c r="K30" s="113">
        <v>0</v>
      </c>
      <c r="L30" s="107"/>
      <c r="M30" s="107"/>
    </row>
    <row r="31" spans="2:13" ht="13.8" thickBot="1" x14ac:dyDescent="0.3">
      <c r="B31" s="108" t="s">
        <v>240</v>
      </c>
      <c r="C31" s="111"/>
      <c r="D31" s="111"/>
      <c r="E31" s="111"/>
      <c r="F31" s="111"/>
      <c r="G31" s="111"/>
      <c r="H31" s="113"/>
      <c r="I31" s="113"/>
      <c r="J31" s="113"/>
      <c r="K31" s="113"/>
      <c r="L31" s="107"/>
      <c r="M31" s="107"/>
    </row>
    <row r="32" spans="2:13" ht="13.8" thickBot="1" x14ac:dyDescent="0.3">
      <c r="B32" s="109" t="s">
        <v>312</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313</v>
      </c>
      <c r="C33" s="111">
        <v>0.79</v>
      </c>
      <c r="D33" s="111">
        <v>0.79</v>
      </c>
      <c r="E33" s="111">
        <v>0.79</v>
      </c>
      <c r="F33" s="111">
        <v>0.79</v>
      </c>
      <c r="G33" s="111">
        <v>0.79</v>
      </c>
      <c r="H33" s="113"/>
      <c r="I33" s="113"/>
      <c r="J33" s="113"/>
      <c r="K33" s="113"/>
      <c r="L33" s="107"/>
      <c r="M33" s="107"/>
    </row>
    <row r="34" spans="2:13" ht="13.8" thickBot="1" x14ac:dyDescent="0.3">
      <c r="B34" s="109" t="s">
        <v>314</v>
      </c>
      <c r="C34" s="119">
        <v>3</v>
      </c>
      <c r="D34" s="119">
        <v>3</v>
      </c>
      <c r="E34" s="119">
        <v>2</v>
      </c>
      <c r="F34" s="119">
        <v>1.5</v>
      </c>
      <c r="G34" s="119">
        <v>1</v>
      </c>
      <c r="H34" s="113">
        <v>0.5</v>
      </c>
      <c r="I34" s="113">
        <v>1</v>
      </c>
      <c r="J34" s="113">
        <v>0.8</v>
      </c>
      <c r="K34" s="113">
        <v>1.2</v>
      </c>
      <c r="L34" s="107"/>
      <c r="M34" s="107"/>
    </row>
    <row r="35" spans="2:13" ht="13.8" thickBot="1" x14ac:dyDescent="0.3">
      <c r="B35" s="109" t="s">
        <v>286</v>
      </c>
      <c r="C35" s="111" t="s">
        <v>204</v>
      </c>
      <c r="D35" s="111">
        <v>75</v>
      </c>
      <c r="E35" s="111">
        <v>75</v>
      </c>
      <c r="F35" s="111">
        <v>75</v>
      </c>
      <c r="G35" s="111">
        <v>75</v>
      </c>
      <c r="H35" s="113"/>
      <c r="I35" s="113"/>
      <c r="J35" s="113"/>
      <c r="K35" s="113"/>
      <c r="L35" s="107"/>
      <c r="M35" s="107"/>
    </row>
    <row r="36" spans="2:13" ht="13.8" thickBot="1" x14ac:dyDescent="0.3">
      <c r="B36" s="109" t="s">
        <v>287</v>
      </c>
      <c r="C36" s="111">
        <v>25</v>
      </c>
      <c r="D36" s="111">
        <v>25</v>
      </c>
      <c r="E36" s="111">
        <v>25</v>
      </c>
      <c r="F36" s="111">
        <v>25</v>
      </c>
      <c r="G36" s="111">
        <v>25</v>
      </c>
      <c r="H36" s="113"/>
      <c r="I36" s="113"/>
      <c r="J36" s="113"/>
      <c r="K36" s="113"/>
      <c r="L36" s="107"/>
      <c r="M36" s="107"/>
    </row>
    <row r="37" spans="2:13" ht="13.8" thickBot="1" x14ac:dyDescent="0.3">
      <c r="B37" s="109" t="s">
        <v>315</v>
      </c>
      <c r="C37" s="121">
        <v>9</v>
      </c>
      <c r="D37" s="121">
        <v>9</v>
      </c>
      <c r="E37" s="121">
        <v>7</v>
      </c>
      <c r="F37" s="121">
        <v>7</v>
      </c>
      <c r="G37" s="121">
        <v>6</v>
      </c>
      <c r="H37" s="113"/>
      <c r="I37" s="113"/>
      <c r="J37" s="113"/>
      <c r="K37" s="113"/>
      <c r="L37" s="107" t="s">
        <v>86</v>
      </c>
      <c r="M37" s="107">
        <v>1</v>
      </c>
    </row>
    <row r="38" spans="2:13" ht="13.8" thickBot="1" x14ac:dyDescent="0.3">
      <c r="B38" s="109" t="s">
        <v>316</v>
      </c>
      <c r="C38" s="121">
        <v>0</v>
      </c>
      <c r="D38" s="121">
        <v>0</v>
      </c>
      <c r="E38" s="121">
        <v>0</v>
      </c>
      <c r="F38" s="121">
        <v>0</v>
      </c>
      <c r="G38" s="121">
        <v>0</v>
      </c>
      <c r="H38" s="113"/>
      <c r="I38" s="113"/>
      <c r="J38" s="113"/>
      <c r="K38" s="113"/>
      <c r="L38" s="107"/>
      <c r="M38" s="107"/>
    </row>
    <row r="39" spans="2:13" ht="13.8" thickBot="1" x14ac:dyDescent="0.3">
      <c r="B39" s="109" t="s">
        <v>311</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317</v>
      </c>
      <c r="C42" s="89"/>
      <c r="D42" s="89"/>
      <c r="E42" s="89"/>
      <c r="G42" s="89"/>
      <c r="H42" s="89"/>
      <c r="I42" s="89"/>
      <c r="J42" s="89"/>
      <c r="K42" s="89"/>
      <c r="L42" s="89"/>
      <c r="M42" s="89"/>
    </row>
    <row r="43" spans="2:13" x14ac:dyDescent="0.25">
      <c r="B43" s="138" t="s">
        <v>318</v>
      </c>
      <c r="C43" s="89"/>
      <c r="D43" s="89"/>
      <c r="E43" s="89"/>
      <c r="G43" s="89"/>
      <c r="H43" s="89"/>
      <c r="I43" s="89"/>
      <c r="J43" s="89"/>
      <c r="K43" s="89"/>
      <c r="L43" s="89"/>
      <c r="M43" s="89"/>
    </row>
    <row r="44" spans="2:13" ht="14.4" x14ac:dyDescent="0.25">
      <c r="B44" s="138" t="s">
        <v>319</v>
      </c>
      <c r="C44" s="89"/>
      <c r="D44" s="89"/>
      <c r="E44" s="89"/>
      <c r="G44" s="89"/>
      <c r="H44" s="89"/>
      <c r="I44" s="89"/>
      <c r="J44" s="89"/>
      <c r="K44" s="89"/>
      <c r="L44" s="89"/>
      <c r="M44" s="89"/>
    </row>
    <row r="45" spans="2:13" x14ac:dyDescent="0.25">
      <c r="B45" s="138" t="s">
        <v>320</v>
      </c>
      <c r="C45" s="89"/>
      <c r="D45" s="89"/>
      <c r="E45" s="89"/>
      <c r="G45" s="89"/>
      <c r="H45" s="89"/>
      <c r="I45" s="89"/>
      <c r="J45" s="89"/>
      <c r="K45" s="89"/>
      <c r="L45" s="89"/>
      <c r="M45" s="89"/>
    </row>
    <row r="46" spans="2:13" ht="86.4" x14ac:dyDescent="0.25">
      <c r="B46" s="139" t="s">
        <v>321</v>
      </c>
      <c r="C46" s="89"/>
      <c r="D46" s="89"/>
      <c r="E46" s="89"/>
      <c r="G46" s="89"/>
      <c r="H46" s="89"/>
      <c r="I46" s="89"/>
      <c r="J46" s="89"/>
      <c r="K46" s="89"/>
      <c r="L46" s="89"/>
      <c r="M46" s="89"/>
    </row>
    <row r="47" spans="2:13" x14ac:dyDescent="0.25">
      <c r="B47" s="138" t="s">
        <v>322</v>
      </c>
      <c r="C47" s="89"/>
      <c r="D47" s="89"/>
      <c r="E47" s="89"/>
      <c r="G47" s="89"/>
      <c r="H47" s="89"/>
      <c r="I47" s="89"/>
      <c r="J47" s="89"/>
      <c r="K47" s="89"/>
      <c r="L47" s="89"/>
      <c r="M47" s="89"/>
    </row>
    <row r="48" spans="2:13" x14ac:dyDescent="0.25">
      <c r="B48" s="138" t="s">
        <v>323</v>
      </c>
      <c r="C48" s="89"/>
      <c r="D48" s="89"/>
      <c r="E48" s="89"/>
      <c r="G48" s="89"/>
      <c r="H48" s="89"/>
      <c r="I48" s="89"/>
      <c r="J48" s="89"/>
      <c r="K48" s="89"/>
      <c r="L48" s="89"/>
      <c r="M48" s="89"/>
    </row>
    <row r="49" spans="2:13" x14ac:dyDescent="0.25">
      <c r="B49" s="138" t="s">
        <v>324</v>
      </c>
      <c r="C49" s="89"/>
      <c r="D49" s="89"/>
      <c r="E49" s="89"/>
      <c r="G49" s="89"/>
      <c r="H49" s="89"/>
      <c r="I49" s="89"/>
      <c r="J49" s="89"/>
      <c r="K49" s="89"/>
      <c r="L49" s="89"/>
      <c r="M49" s="89"/>
    </row>
    <row r="50" spans="2:13" x14ac:dyDescent="0.25">
      <c r="B50" s="138" t="s">
        <v>325</v>
      </c>
      <c r="C50" s="89"/>
      <c r="D50" s="89"/>
      <c r="E50" s="89"/>
      <c r="G50" s="89"/>
      <c r="H50" s="89"/>
      <c r="I50" s="89"/>
      <c r="J50" s="89"/>
      <c r="K50" s="89"/>
      <c r="L50" s="89"/>
      <c r="M50" s="89"/>
    </row>
    <row r="51" spans="2:13" x14ac:dyDescent="0.25">
      <c r="B51" s="138" t="s">
        <v>326</v>
      </c>
      <c r="C51" s="89"/>
      <c r="D51" s="89"/>
      <c r="E51" s="89"/>
      <c r="G51" s="89"/>
      <c r="H51" s="89"/>
      <c r="I51" s="89"/>
      <c r="J51" s="89"/>
      <c r="K51" s="89"/>
      <c r="L51" s="89"/>
      <c r="M51" s="89"/>
    </row>
    <row r="52" spans="2:13" x14ac:dyDescent="0.25">
      <c r="B52" s="138" t="s">
        <v>327</v>
      </c>
      <c r="C52" s="89"/>
      <c r="D52" s="89"/>
      <c r="E52" s="89"/>
      <c r="G52" s="89"/>
      <c r="H52" s="89"/>
      <c r="I52" s="89"/>
      <c r="J52" s="89"/>
      <c r="K52" s="89"/>
      <c r="L52" s="89"/>
      <c r="M52" s="89"/>
    </row>
    <row r="53" spans="2:13" x14ac:dyDescent="0.25">
      <c r="B53" s="138" t="s">
        <v>328</v>
      </c>
      <c r="C53" s="89"/>
      <c r="D53" s="89"/>
      <c r="E53" s="89"/>
      <c r="F53" s="89"/>
      <c r="G53" s="89"/>
      <c r="H53" s="89"/>
      <c r="I53" s="89"/>
      <c r="J53" s="89"/>
      <c r="K53" s="89"/>
      <c r="L53" s="89"/>
      <c r="M53" s="89"/>
    </row>
    <row r="54" spans="2:13" x14ac:dyDescent="0.25">
      <c r="B54" s="138" t="s">
        <v>329</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330</v>
      </c>
      <c r="C58" s="89"/>
      <c r="D58" s="89"/>
      <c r="E58" s="89"/>
      <c r="F58" s="89"/>
      <c r="G58" s="89"/>
      <c r="H58" s="89"/>
      <c r="I58" s="89"/>
      <c r="J58" s="89"/>
      <c r="K58" s="89"/>
      <c r="L58" s="89"/>
      <c r="M58" s="89"/>
    </row>
    <row r="59" spans="2:13" x14ac:dyDescent="0.25">
      <c r="B59" s="140" t="s">
        <v>331</v>
      </c>
      <c r="C59" s="89"/>
      <c r="D59" s="89"/>
      <c r="E59" s="89"/>
      <c r="F59" s="89"/>
      <c r="G59" s="89"/>
      <c r="H59" s="89"/>
      <c r="I59" s="89"/>
      <c r="J59" s="89"/>
      <c r="K59" s="89"/>
      <c r="L59" s="89"/>
      <c r="M59" s="89"/>
    </row>
    <row r="60" spans="2:13" x14ac:dyDescent="0.25">
      <c r="B60" s="140" t="s">
        <v>332</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zoomScale="91" workbookViewId="0">
      <selection activeCell="Q17" sqref="Q17"/>
    </sheetView>
  </sheetViews>
  <sheetFormatPr defaultRowHeight="13.2" x14ac:dyDescent="0.25"/>
  <cols>
    <col min="1" max="1" width="41.33203125" customWidth="1"/>
    <col min="2" max="11" width="9" bestFit="1" customWidth="1"/>
    <col min="16" max="16" width="11.109375" bestFit="1" customWidth="1"/>
    <col min="17" max="17" width="12.33203125" bestFit="1" customWidth="1"/>
    <col min="19" max="19" width="10" bestFit="1" customWidth="1"/>
  </cols>
  <sheetData>
    <row r="1" spans="1:20" x14ac:dyDescent="0.25">
      <c r="A1" s="80" t="s">
        <v>71</v>
      </c>
      <c r="B1" s="365" t="s">
        <v>333</v>
      </c>
      <c r="C1" s="366"/>
      <c r="D1" s="366"/>
      <c r="E1" s="366"/>
      <c r="F1" s="366"/>
      <c r="G1" s="366"/>
      <c r="H1" s="366"/>
      <c r="I1" s="366"/>
      <c r="J1" s="366"/>
      <c r="K1" s="366"/>
    </row>
    <row r="2" spans="1:20" x14ac:dyDescent="0.25">
      <c r="A2" s="81" t="s">
        <v>206</v>
      </c>
      <c r="B2" s="82">
        <v>2020</v>
      </c>
      <c r="C2" s="82">
        <v>2030</v>
      </c>
      <c r="D2" s="82">
        <v>2040</v>
      </c>
      <c r="E2" s="82">
        <v>2050</v>
      </c>
      <c r="F2" s="83">
        <v>2020</v>
      </c>
      <c r="G2" s="83">
        <v>2020</v>
      </c>
      <c r="H2" s="83">
        <v>2050</v>
      </c>
      <c r="I2" s="83">
        <v>2050</v>
      </c>
      <c r="J2" s="84" t="s">
        <v>72</v>
      </c>
      <c r="K2" s="84" t="s">
        <v>73</v>
      </c>
    </row>
    <row r="3" spans="1:20" ht="13.8" thickBot="1" x14ac:dyDescent="0.3">
      <c r="A3" s="85" t="s">
        <v>207</v>
      </c>
      <c r="B3" s="86" t="s">
        <v>208</v>
      </c>
      <c r="C3" s="86" t="s">
        <v>208</v>
      </c>
      <c r="D3" s="86" t="s">
        <v>208</v>
      </c>
      <c r="E3" s="86" t="s">
        <v>208</v>
      </c>
      <c r="F3" s="86" t="s">
        <v>75</v>
      </c>
      <c r="G3" s="86" t="s">
        <v>76</v>
      </c>
      <c r="H3" s="86" t="s">
        <v>75</v>
      </c>
      <c r="I3" s="86" t="s">
        <v>76</v>
      </c>
      <c r="J3" s="147" t="s">
        <v>85</v>
      </c>
      <c r="K3" s="147" t="s">
        <v>85</v>
      </c>
    </row>
    <row r="4" spans="1:20" x14ac:dyDescent="0.25">
      <c r="A4" s="148" t="s">
        <v>211</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334</v>
      </c>
      <c r="B6" s="132">
        <v>2</v>
      </c>
      <c r="C6" s="132">
        <v>13</v>
      </c>
      <c r="D6" s="132">
        <v>41</v>
      </c>
      <c r="E6" s="132">
        <v>165</v>
      </c>
      <c r="F6" s="153">
        <v>0.5</v>
      </c>
      <c r="G6" s="153">
        <v>1.5</v>
      </c>
      <c r="H6" s="153">
        <v>0.5</v>
      </c>
      <c r="I6" s="153">
        <v>1.5</v>
      </c>
      <c r="J6" s="133" t="s">
        <v>335</v>
      </c>
      <c r="K6" s="133" t="s">
        <v>336</v>
      </c>
    </row>
    <row r="7" spans="1:20" x14ac:dyDescent="0.25">
      <c r="A7" s="152" t="s">
        <v>337</v>
      </c>
      <c r="B7" s="132">
        <v>3.1</v>
      </c>
      <c r="C7" s="132">
        <v>20.5</v>
      </c>
      <c r="D7" s="132">
        <v>64.5</v>
      </c>
      <c r="E7" s="132">
        <v>259.60000000000002</v>
      </c>
      <c r="F7" s="153">
        <v>0.5</v>
      </c>
      <c r="G7" s="153">
        <v>1.5</v>
      </c>
      <c r="H7" s="153">
        <v>0.5</v>
      </c>
      <c r="I7" s="153">
        <v>1.5</v>
      </c>
      <c r="J7" s="133" t="s">
        <v>338</v>
      </c>
      <c r="K7" s="133" t="s">
        <v>339</v>
      </c>
    </row>
    <row r="8" spans="1:20" x14ac:dyDescent="0.25">
      <c r="A8" s="151" t="s">
        <v>106</v>
      </c>
      <c r="B8" s="154"/>
      <c r="C8" s="154"/>
      <c r="D8" s="154"/>
      <c r="E8" s="154"/>
      <c r="F8" s="154"/>
      <c r="G8" s="154"/>
      <c r="H8" s="154"/>
      <c r="I8" s="154"/>
      <c r="J8" s="150"/>
      <c r="K8" s="150"/>
    </row>
    <row r="9" spans="1:20" x14ac:dyDescent="0.25">
      <c r="A9" s="152" t="s">
        <v>340</v>
      </c>
      <c r="B9" s="132">
        <v>4.3</v>
      </c>
      <c r="C9" s="132">
        <v>3.9</v>
      </c>
      <c r="D9" s="132">
        <v>3.6</v>
      </c>
      <c r="E9" s="132">
        <v>3.3</v>
      </c>
      <c r="F9" s="153">
        <v>1</v>
      </c>
      <c r="G9" s="153">
        <v>1.1000000000000001</v>
      </c>
      <c r="H9" s="153">
        <v>1</v>
      </c>
      <c r="I9" s="153">
        <v>1.1000000000000001</v>
      </c>
      <c r="J9" s="133" t="s">
        <v>341</v>
      </c>
      <c r="K9" s="133"/>
    </row>
    <row r="10" spans="1:20" x14ac:dyDescent="0.25">
      <c r="A10" s="152" t="s">
        <v>279</v>
      </c>
      <c r="B10" s="132">
        <v>0.995</v>
      </c>
      <c r="C10" s="132">
        <v>0.995</v>
      </c>
      <c r="D10" s="132">
        <v>0.995</v>
      </c>
      <c r="E10" s="132">
        <v>0.995</v>
      </c>
      <c r="F10" s="153">
        <v>0.75</v>
      </c>
      <c r="G10" s="153">
        <v>1.25</v>
      </c>
      <c r="H10" s="153">
        <v>0.75</v>
      </c>
      <c r="I10" s="153">
        <v>1.25</v>
      </c>
      <c r="J10" s="133" t="s">
        <v>342</v>
      </c>
      <c r="K10" s="133"/>
      <c r="P10">
        <v>11.95</v>
      </c>
      <c r="Q10" t="s">
        <v>419</v>
      </c>
      <c r="S10">
        <v>1</v>
      </c>
      <c r="T10" t="s">
        <v>420</v>
      </c>
    </row>
    <row r="11" spans="1:20" x14ac:dyDescent="0.25">
      <c r="A11" s="152" t="s">
        <v>343</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421</v>
      </c>
    </row>
    <row r="12" spans="1:20" x14ac:dyDescent="0.25">
      <c r="A12" s="151" t="s">
        <v>107</v>
      </c>
      <c r="B12" s="154"/>
      <c r="C12" s="154"/>
      <c r="D12" s="154"/>
      <c r="E12" s="154"/>
      <c r="F12" s="154"/>
      <c r="G12" s="154"/>
      <c r="H12" s="154"/>
      <c r="I12" s="154"/>
      <c r="J12" s="150"/>
      <c r="K12" s="150"/>
    </row>
    <row r="13" spans="1:20" x14ac:dyDescent="0.25">
      <c r="A13" s="152" t="s">
        <v>344</v>
      </c>
      <c r="B13" s="132">
        <v>0.65</v>
      </c>
      <c r="C13" s="132">
        <v>0.7</v>
      </c>
      <c r="D13" s="132">
        <v>0.73</v>
      </c>
      <c r="E13" s="132">
        <v>0.75</v>
      </c>
      <c r="F13" s="153">
        <v>0.8</v>
      </c>
      <c r="G13" s="153">
        <v>1.2</v>
      </c>
      <c r="H13" s="153">
        <v>0.8</v>
      </c>
      <c r="I13" s="153">
        <v>1.2</v>
      </c>
      <c r="J13" s="133" t="s">
        <v>345</v>
      </c>
      <c r="K13" s="133" t="s">
        <v>346</v>
      </c>
      <c r="P13">
        <f>P10*S11</f>
        <v>4.3019999999999998E-5</v>
      </c>
      <c r="Q13" t="s">
        <v>422</v>
      </c>
    </row>
    <row r="14" spans="1:20" x14ac:dyDescent="0.25">
      <c r="A14" s="152" t="s">
        <v>347</v>
      </c>
      <c r="B14" s="132">
        <v>0.25</v>
      </c>
      <c r="C14" s="132">
        <v>0.2</v>
      </c>
      <c r="D14" s="132">
        <v>0.17</v>
      </c>
      <c r="E14" s="132">
        <v>0.15</v>
      </c>
      <c r="F14" s="153">
        <v>0.8</v>
      </c>
      <c r="G14" s="153">
        <v>1.2</v>
      </c>
      <c r="H14" s="153">
        <v>0.8</v>
      </c>
      <c r="I14" s="153">
        <v>1.2</v>
      </c>
      <c r="J14" s="133" t="s">
        <v>88</v>
      </c>
      <c r="K14" s="133"/>
    </row>
    <row r="15" spans="1:20" x14ac:dyDescent="0.25">
      <c r="A15" s="152" t="s">
        <v>310</v>
      </c>
      <c r="B15" s="132">
        <v>0</v>
      </c>
      <c r="C15" s="132">
        <v>0</v>
      </c>
      <c r="D15" s="132">
        <v>0</v>
      </c>
      <c r="E15" s="132">
        <v>0</v>
      </c>
      <c r="F15" s="132"/>
      <c r="G15" s="132"/>
      <c r="H15" s="132"/>
      <c r="I15" s="132"/>
      <c r="J15" s="133" t="s">
        <v>92</v>
      </c>
      <c r="K15" s="133"/>
    </row>
    <row r="16" spans="1:20" x14ac:dyDescent="0.25">
      <c r="A16" s="152" t="s">
        <v>216</v>
      </c>
      <c r="B16" s="132">
        <v>3</v>
      </c>
      <c r="C16" s="132"/>
      <c r="D16" s="132"/>
      <c r="E16" s="132"/>
      <c r="F16" s="132"/>
      <c r="G16" s="132"/>
      <c r="H16" s="132"/>
      <c r="I16" s="132"/>
      <c r="J16" s="133"/>
      <c r="K16" s="133">
        <v>18</v>
      </c>
    </row>
    <row r="17" spans="1:18" x14ac:dyDescent="0.25">
      <c r="A17" s="152" t="s">
        <v>217</v>
      </c>
      <c r="B17" s="132">
        <v>25</v>
      </c>
      <c r="C17" s="132"/>
      <c r="D17" s="132"/>
      <c r="E17" s="132"/>
      <c r="F17" s="132"/>
      <c r="G17" s="132"/>
      <c r="H17" s="132"/>
      <c r="I17" s="132"/>
      <c r="J17" s="133"/>
      <c r="K17" s="133"/>
      <c r="Q17">
        <v>43.98</v>
      </c>
      <c r="R17" t="s">
        <v>883</v>
      </c>
    </row>
    <row r="18" spans="1:18" x14ac:dyDescent="0.25">
      <c r="A18" s="152" t="s">
        <v>218</v>
      </c>
      <c r="B18" s="132">
        <v>2</v>
      </c>
      <c r="C18" s="132"/>
      <c r="D18" s="132"/>
      <c r="E18" s="132"/>
      <c r="F18" s="132"/>
      <c r="G18" s="132"/>
      <c r="H18" s="132"/>
      <c r="I18" s="132"/>
      <c r="J18" s="133"/>
      <c r="K18" s="133"/>
    </row>
    <row r="19" spans="1:18" x14ac:dyDescent="0.25">
      <c r="A19" s="88" t="s">
        <v>227</v>
      </c>
      <c r="B19" s="154"/>
      <c r="C19" s="154"/>
      <c r="D19" s="154"/>
      <c r="E19" s="154"/>
      <c r="F19" s="154"/>
      <c r="G19" s="154"/>
      <c r="H19" s="154"/>
      <c r="I19" s="154"/>
      <c r="J19" s="150"/>
      <c r="K19" s="150"/>
    </row>
    <row r="20" spans="1:18" x14ac:dyDescent="0.25">
      <c r="A20" s="152" t="s">
        <v>348</v>
      </c>
      <c r="B20" s="155">
        <v>2.2331399999999997</v>
      </c>
      <c r="C20" s="155">
        <v>1.7014399999999998</v>
      </c>
      <c r="D20" s="155">
        <v>1.16974</v>
      </c>
      <c r="E20" s="155">
        <v>0.95705999999999991</v>
      </c>
      <c r="F20" s="153">
        <v>0.79754999999999998</v>
      </c>
      <c r="G20" s="153">
        <v>1.5951</v>
      </c>
      <c r="H20" s="153">
        <v>0.79754999999999998</v>
      </c>
      <c r="I20" s="153">
        <v>1.3292499999999998</v>
      </c>
      <c r="J20" s="133" t="s">
        <v>349</v>
      </c>
      <c r="K20" s="133" t="s">
        <v>350</v>
      </c>
      <c r="Q20">
        <f>Q17*P13</f>
        <v>1.8920195999999998E-3</v>
      </c>
      <c r="R20" t="s">
        <v>884</v>
      </c>
    </row>
    <row r="21" spans="1:18" x14ac:dyDescent="0.25">
      <c r="A21" s="152" t="s">
        <v>351</v>
      </c>
      <c r="B21" s="132">
        <v>79.754999999999995</v>
      </c>
      <c r="C21" s="132">
        <v>79.754999999999995</v>
      </c>
      <c r="D21" s="132">
        <v>79.754999999999995</v>
      </c>
      <c r="E21" s="132">
        <v>79.754999999999995</v>
      </c>
      <c r="F21" s="132">
        <v>0</v>
      </c>
      <c r="G21" s="132">
        <v>0</v>
      </c>
      <c r="H21" s="132">
        <v>0</v>
      </c>
      <c r="I21" s="132">
        <v>0</v>
      </c>
      <c r="J21" s="133" t="s">
        <v>79</v>
      </c>
      <c r="K21" s="133"/>
    </row>
    <row r="22" spans="1:18" x14ac:dyDescent="0.25">
      <c r="A22" s="152" t="s">
        <v>287</v>
      </c>
      <c r="B22" s="132">
        <v>26.584999999999997</v>
      </c>
      <c r="C22" s="132">
        <v>26.584999999999997</v>
      </c>
      <c r="D22" s="132">
        <v>26.584999999999997</v>
      </c>
      <c r="E22" s="132">
        <v>26.584999999999997</v>
      </c>
      <c r="F22" s="132">
        <v>0</v>
      </c>
      <c r="G22" s="132">
        <v>0</v>
      </c>
      <c r="H22" s="132">
        <v>0</v>
      </c>
      <c r="I22" s="132">
        <v>0</v>
      </c>
      <c r="J22" s="133">
        <v>0</v>
      </c>
      <c r="K22" s="133"/>
      <c r="Q22">
        <f>Q20/1000</f>
        <v>1.8920195999999998E-6</v>
      </c>
    </row>
    <row r="23" spans="1:18" x14ac:dyDescent="0.25">
      <c r="A23" s="152" t="s">
        <v>352</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8" x14ac:dyDescent="0.25">
      <c r="A24" s="152" t="s">
        <v>353</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c r="Q24">
        <f>Q22*1000000</f>
        <v>1.8920195999999998</v>
      </c>
    </row>
    <row r="25" spans="1:18" x14ac:dyDescent="0.25">
      <c r="A25" s="152" t="s">
        <v>354</v>
      </c>
      <c r="B25" s="132">
        <v>0</v>
      </c>
      <c r="C25" s="132">
        <v>0</v>
      </c>
      <c r="D25" s="132">
        <v>0</v>
      </c>
      <c r="E25" s="132">
        <v>0</v>
      </c>
      <c r="F25" s="132">
        <v>0</v>
      </c>
      <c r="G25" s="132">
        <v>0</v>
      </c>
      <c r="H25" s="132">
        <v>0</v>
      </c>
      <c r="I25" s="132">
        <v>0</v>
      </c>
      <c r="J25" s="133">
        <v>0</v>
      </c>
      <c r="K25" s="133"/>
    </row>
    <row r="26" spans="1:18" x14ac:dyDescent="0.25">
      <c r="A26" s="151" t="s">
        <v>240</v>
      </c>
      <c r="B26" s="132"/>
      <c r="C26" s="132"/>
      <c r="D26" s="132"/>
      <c r="E26" s="132"/>
      <c r="F26" s="132"/>
      <c r="G26" s="132"/>
      <c r="H26" s="132"/>
      <c r="I26" s="132"/>
      <c r="J26" s="133"/>
      <c r="K26" s="133"/>
    </row>
    <row r="27" spans="1:18" x14ac:dyDescent="0.25">
      <c r="A27" s="152" t="s">
        <v>355</v>
      </c>
      <c r="B27" s="132">
        <v>3.3</v>
      </c>
      <c r="C27" s="132">
        <v>2.5</v>
      </c>
      <c r="D27" s="132">
        <v>1.7</v>
      </c>
      <c r="E27" s="132">
        <v>1.4</v>
      </c>
      <c r="F27" s="153">
        <v>0.75</v>
      </c>
      <c r="G27" s="153">
        <v>1.5</v>
      </c>
      <c r="H27" s="153">
        <v>0.75</v>
      </c>
      <c r="I27" s="153">
        <v>1.25</v>
      </c>
      <c r="J27" s="133" t="s">
        <v>349</v>
      </c>
      <c r="K27" s="133" t="s">
        <v>350</v>
      </c>
    </row>
    <row r="28" spans="1:18" x14ac:dyDescent="0.25">
      <c r="A28" s="152" t="s">
        <v>351</v>
      </c>
      <c r="B28" s="132">
        <v>75</v>
      </c>
      <c r="C28" s="132">
        <v>75</v>
      </c>
      <c r="D28" s="132">
        <v>75</v>
      </c>
      <c r="E28" s="132">
        <v>75</v>
      </c>
      <c r="F28" s="132"/>
      <c r="G28" s="132"/>
      <c r="H28" s="132"/>
      <c r="I28" s="132"/>
      <c r="J28" s="133" t="s">
        <v>79</v>
      </c>
      <c r="K28" s="133"/>
    </row>
    <row r="29" spans="1:18" x14ac:dyDescent="0.25">
      <c r="A29" s="152" t="s">
        <v>287</v>
      </c>
      <c r="B29" s="132">
        <v>25</v>
      </c>
      <c r="C29" s="132">
        <v>25</v>
      </c>
      <c r="D29" s="132">
        <v>25</v>
      </c>
      <c r="E29" s="132">
        <v>25</v>
      </c>
      <c r="F29" s="132"/>
      <c r="G29" s="132"/>
      <c r="H29" s="132"/>
      <c r="I29" s="132"/>
      <c r="J29" s="133"/>
      <c r="K29" s="133"/>
    </row>
    <row r="30" spans="1:18" x14ac:dyDescent="0.25">
      <c r="A30" s="152" t="s">
        <v>356</v>
      </c>
      <c r="B30" s="155">
        <v>0.16</v>
      </c>
      <c r="C30" s="155">
        <v>0.12</v>
      </c>
      <c r="D30" s="155">
        <v>0.08</v>
      </c>
      <c r="E30" s="155">
        <v>7.0000000000000007E-2</v>
      </c>
      <c r="F30" s="153">
        <v>0.9</v>
      </c>
      <c r="G30" s="153">
        <v>1.1000000000000001</v>
      </c>
      <c r="H30" s="153">
        <v>0.9</v>
      </c>
      <c r="I30" s="153">
        <v>1.1000000000000001</v>
      </c>
      <c r="J30" s="133" t="s">
        <v>94</v>
      </c>
      <c r="K30" s="133">
        <v>18</v>
      </c>
    </row>
    <row r="31" spans="1:18" x14ac:dyDescent="0.25">
      <c r="A31" s="152" t="s">
        <v>357</v>
      </c>
      <c r="B31" s="155">
        <v>0.05</v>
      </c>
      <c r="C31" s="155">
        <v>0.04</v>
      </c>
      <c r="D31" s="155">
        <v>0.03</v>
      </c>
      <c r="E31" s="155">
        <v>0.02</v>
      </c>
      <c r="F31" s="153">
        <v>0.9</v>
      </c>
      <c r="G31" s="153">
        <v>1.1000000000000001</v>
      </c>
      <c r="H31" s="153">
        <v>0.9</v>
      </c>
      <c r="I31" s="153">
        <v>1.1000000000000001</v>
      </c>
      <c r="J31" s="133" t="s">
        <v>86</v>
      </c>
      <c r="K31" s="133">
        <v>26</v>
      </c>
    </row>
    <row r="32" spans="1:18" ht="13.8" thickBot="1" x14ac:dyDescent="0.3">
      <c r="A32" s="156" t="s">
        <v>354</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358</v>
      </c>
      <c r="B35" s="89"/>
      <c r="C35" s="89"/>
      <c r="D35" s="89"/>
      <c r="E35" s="89"/>
      <c r="F35" s="89"/>
      <c r="G35" s="89"/>
      <c r="H35" s="89"/>
      <c r="I35" s="89"/>
      <c r="J35" s="89"/>
      <c r="K35" s="89"/>
    </row>
    <row r="36" spans="1:11" x14ac:dyDescent="0.25">
      <c r="A36" s="92" t="s">
        <v>359</v>
      </c>
      <c r="B36" s="89"/>
      <c r="C36" s="89"/>
      <c r="D36" s="89"/>
      <c r="E36" s="89"/>
      <c r="F36" s="89"/>
      <c r="G36" s="89"/>
      <c r="H36" s="89"/>
      <c r="I36" s="89"/>
      <c r="J36" s="89"/>
      <c r="K36" s="89"/>
    </row>
    <row r="37" spans="1:11" x14ac:dyDescent="0.25">
      <c r="A37" s="92" t="s">
        <v>360</v>
      </c>
      <c r="B37" s="89"/>
      <c r="C37" s="89"/>
      <c r="D37" s="89"/>
      <c r="E37" s="89"/>
      <c r="F37" s="89"/>
      <c r="G37" s="89"/>
      <c r="H37" s="89"/>
      <c r="I37" s="89"/>
      <c r="J37" s="89"/>
      <c r="K37" s="89"/>
    </row>
    <row r="38" spans="1:11" x14ac:dyDescent="0.25">
      <c r="A38" s="92" t="s">
        <v>361</v>
      </c>
      <c r="B38" s="89"/>
      <c r="C38" s="89"/>
      <c r="D38" s="89"/>
      <c r="E38" s="89"/>
      <c r="F38" s="89"/>
      <c r="G38" s="89"/>
      <c r="H38" s="89"/>
      <c r="I38" s="89"/>
      <c r="J38" s="89"/>
      <c r="K38" s="89"/>
    </row>
    <row r="39" spans="1:11" x14ac:dyDescent="0.25">
      <c r="A39" s="92" t="s">
        <v>362</v>
      </c>
      <c r="B39" s="89"/>
      <c r="C39" s="89"/>
      <c r="D39" s="89"/>
      <c r="E39" s="89"/>
      <c r="F39" s="89"/>
      <c r="G39" s="89"/>
      <c r="H39" s="89"/>
      <c r="I39" s="89"/>
      <c r="J39" s="89"/>
      <c r="K39" s="89"/>
    </row>
    <row r="40" spans="1:11" x14ac:dyDescent="0.25">
      <c r="A40" s="92" t="s">
        <v>363</v>
      </c>
      <c r="B40" s="89"/>
      <c r="C40" s="89"/>
      <c r="D40" s="89"/>
      <c r="E40" s="89"/>
      <c r="F40" s="89"/>
      <c r="G40" s="89"/>
      <c r="H40" s="89"/>
      <c r="I40" s="89"/>
      <c r="J40" s="89"/>
      <c r="K40" s="89"/>
    </row>
    <row r="41" spans="1:11" x14ac:dyDescent="0.25">
      <c r="A41" s="92" t="s">
        <v>364</v>
      </c>
      <c r="B41" s="89"/>
      <c r="C41" s="89"/>
      <c r="D41" s="89"/>
      <c r="E41" s="89"/>
      <c r="F41" s="89"/>
      <c r="G41" s="89"/>
      <c r="H41" s="89"/>
      <c r="I41" s="89"/>
      <c r="J41" s="89"/>
      <c r="K41" s="89"/>
    </row>
    <row r="42" spans="1:11" x14ac:dyDescent="0.25">
      <c r="A42" s="92" t="s">
        <v>365</v>
      </c>
      <c r="B42" s="89"/>
      <c r="C42" s="89"/>
      <c r="D42" s="89"/>
      <c r="E42" s="89"/>
      <c r="F42" s="89"/>
      <c r="G42" s="89"/>
      <c r="H42" s="89"/>
      <c r="I42" s="89"/>
      <c r="J42" s="89"/>
      <c r="K42" s="89"/>
    </row>
    <row r="43" spans="1:11" x14ac:dyDescent="0.25">
      <c r="A43" s="92" t="s">
        <v>366</v>
      </c>
      <c r="B43" s="89"/>
      <c r="C43" s="89"/>
      <c r="D43" s="89"/>
      <c r="E43" s="89"/>
      <c r="F43" s="89"/>
      <c r="G43" s="89"/>
      <c r="H43" s="89"/>
      <c r="I43" s="89"/>
      <c r="J43" s="89"/>
      <c r="K43" s="89"/>
    </row>
    <row r="44" spans="1:11" x14ac:dyDescent="0.25">
      <c r="A44" s="92" t="s">
        <v>367</v>
      </c>
      <c r="B44" s="89"/>
      <c r="C44" s="89"/>
      <c r="D44" s="89"/>
      <c r="E44" s="89"/>
      <c r="F44" s="89"/>
      <c r="G44" s="89"/>
      <c r="H44" s="89"/>
      <c r="I44" s="89"/>
      <c r="J44" s="89"/>
      <c r="K44" s="89"/>
    </row>
    <row r="45" spans="1:11" x14ac:dyDescent="0.25">
      <c r="A45" s="92" t="s">
        <v>368</v>
      </c>
      <c r="B45" s="89"/>
      <c r="C45" s="89"/>
      <c r="D45" s="89"/>
      <c r="E45" s="89"/>
      <c r="F45" s="89"/>
      <c r="G45" s="89"/>
      <c r="H45" s="89"/>
      <c r="I45" s="89"/>
      <c r="J45" s="89"/>
      <c r="K45" s="89"/>
    </row>
    <row r="46" spans="1:11" x14ac:dyDescent="0.25">
      <c r="A46" s="92" t="s">
        <v>369</v>
      </c>
      <c r="B46" s="89"/>
      <c r="C46" s="89"/>
      <c r="D46" s="89"/>
      <c r="E46" s="89"/>
      <c r="F46" s="89"/>
      <c r="G46" s="89"/>
      <c r="H46" s="89"/>
      <c r="I46" s="89"/>
      <c r="J46" s="89"/>
      <c r="K46" s="89"/>
    </row>
    <row r="47" spans="1:11" x14ac:dyDescent="0.25">
      <c r="A47" s="92" t="s">
        <v>370</v>
      </c>
      <c r="B47" s="89"/>
      <c r="C47" s="89"/>
      <c r="D47" s="89"/>
      <c r="E47" s="89"/>
      <c r="F47" s="89"/>
      <c r="G47" s="89"/>
      <c r="H47" s="89"/>
      <c r="I47" s="89"/>
      <c r="J47" s="89"/>
      <c r="K47" s="89"/>
    </row>
    <row r="48" spans="1:11" x14ac:dyDescent="0.25">
      <c r="A48" s="92" t="s">
        <v>371</v>
      </c>
      <c r="B48" s="89"/>
      <c r="C48" s="89"/>
      <c r="D48" s="89"/>
      <c r="E48" s="89"/>
      <c r="F48" s="89"/>
      <c r="G48" s="89"/>
      <c r="H48" s="89"/>
      <c r="I48" s="89"/>
      <c r="J48" s="89"/>
      <c r="K48" s="89"/>
    </row>
    <row r="49" spans="1:11" x14ac:dyDescent="0.25">
      <c r="A49" s="92" t="s">
        <v>372</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A31" sqref="A31:B31"/>
    </sheetView>
  </sheetViews>
  <sheetFormatPr defaultRowHeight="13.2" x14ac:dyDescent="0.25"/>
  <cols>
    <col min="1" max="1" width="40.109375" customWidth="1"/>
  </cols>
  <sheetData>
    <row r="1" spans="1:13" ht="14.4" x14ac:dyDescent="0.3">
      <c r="A1" s="172" t="s">
        <v>71</v>
      </c>
      <c r="B1" s="173" t="s">
        <v>376</v>
      </c>
      <c r="C1" s="173"/>
      <c r="D1" s="173"/>
      <c r="E1" s="173"/>
      <c r="F1" s="173"/>
      <c r="G1" s="173"/>
      <c r="H1" s="173"/>
      <c r="I1" s="173"/>
      <c r="J1" s="173"/>
      <c r="K1" s="173"/>
      <c r="L1" s="173"/>
      <c r="M1" s="162"/>
    </row>
    <row r="2" spans="1:13" ht="14.4" x14ac:dyDescent="0.3">
      <c r="A2" s="174" t="s">
        <v>206</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207</v>
      </c>
      <c r="B3" s="176" t="s">
        <v>377</v>
      </c>
      <c r="C3" s="176" t="s">
        <v>377</v>
      </c>
      <c r="D3" s="176" t="s">
        <v>377</v>
      </c>
      <c r="E3" s="176" t="s">
        <v>377</v>
      </c>
      <c r="F3" s="176" t="s">
        <v>377</v>
      </c>
      <c r="G3" s="176" t="s">
        <v>75</v>
      </c>
      <c r="H3" s="176" t="s">
        <v>76</v>
      </c>
      <c r="I3" s="176" t="s">
        <v>75</v>
      </c>
      <c r="J3" s="176" t="s">
        <v>76</v>
      </c>
      <c r="K3" s="177" t="s">
        <v>85</v>
      </c>
      <c r="L3" s="177" t="s">
        <v>85</v>
      </c>
      <c r="M3" s="162"/>
    </row>
    <row r="4" spans="1:13" ht="14.4" x14ac:dyDescent="0.3">
      <c r="A4" s="179" t="s">
        <v>211</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378</v>
      </c>
      <c r="B6" s="187">
        <v>0.5</v>
      </c>
      <c r="C6" s="187">
        <v>4.5</v>
      </c>
      <c r="D6" s="187">
        <v>125</v>
      </c>
      <c r="E6" s="187">
        <v>125</v>
      </c>
      <c r="F6" s="187">
        <v>125000</v>
      </c>
      <c r="G6" s="187">
        <v>0.1</v>
      </c>
      <c r="H6" s="187">
        <v>4.5</v>
      </c>
      <c r="I6" s="187">
        <v>62500</v>
      </c>
      <c r="J6" s="187">
        <v>1250000</v>
      </c>
      <c r="K6" s="188" t="s">
        <v>78</v>
      </c>
      <c r="L6" s="188" t="s">
        <v>379</v>
      </c>
      <c r="M6" s="162"/>
    </row>
    <row r="7" spans="1:13" ht="14.4" x14ac:dyDescent="0.3">
      <c r="A7" s="189" t="s">
        <v>380</v>
      </c>
      <c r="B7" s="185"/>
      <c r="C7" s="185"/>
      <c r="D7" s="185"/>
      <c r="E7" s="185"/>
      <c r="F7" s="185"/>
      <c r="G7" s="185"/>
      <c r="H7" s="185"/>
      <c r="I7" s="185"/>
      <c r="J7" s="185"/>
      <c r="K7" s="186"/>
      <c r="L7" s="186"/>
      <c r="M7" s="162"/>
    </row>
    <row r="8" spans="1:13" ht="14.4" x14ac:dyDescent="0.3">
      <c r="A8" s="184" t="s">
        <v>381</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382</v>
      </c>
      <c r="B9" s="187"/>
      <c r="C9" s="187"/>
      <c r="D9" s="190"/>
      <c r="E9" s="187"/>
      <c r="F9" s="187"/>
      <c r="G9" s="187"/>
      <c r="H9" s="187"/>
      <c r="I9" s="187"/>
      <c r="J9" s="190"/>
      <c r="K9" s="188" t="s">
        <v>58</v>
      </c>
      <c r="L9" s="188"/>
      <c r="M9" s="162"/>
    </row>
    <row r="10" spans="1:13" ht="14.4" x14ac:dyDescent="0.3">
      <c r="A10" s="184" t="s">
        <v>383</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384</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385</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386</v>
      </c>
      <c r="B13" s="187"/>
      <c r="C13" s="187"/>
      <c r="D13" s="187"/>
      <c r="E13" s="187"/>
      <c r="F13" s="187"/>
      <c r="G13" s="187"/>
      <c r="H13" s="187"/>
      <c r="I13" s="187"/>
      <c r="J13" s="187"/>
      <c r="K13" s="188"/>
      <c r="L13" s="188"/>
      <c r="M13" s="162"/>
    </row>
    <row r="14" spans="1:13" ht="14.4" x14ac:dyDescent="0.3">
      <c r="A14" s="189" t="s">
        <v>387</v>
      </c>
      <c r="B14" s="187"/>
      <c r="C14" s="187"/>
      <c r="D14" s="187"/>
      <c r="E14" s="187"/>
      <c r="F14" s="187"/>
      <c r="G14" s="187"/>
      <c r="H14" s="187"/>
      <c r="I14" s="187"/>
      <c r="J14" s="187"/>
      <c r="K14" s="188"/>
      <c r="L14" s="188"/>
      <c r="M14" s="162"/>
    </row>
    <row r="15" spans="1:13" ht="14.4" x14ac:dyDescent="0.3">
      <c r="A15" s="184" t="s">
        <v>388</v>
      </c>
      <c r="B15" s="187">
        <v>99</v>
      </c>
      <c r="C15" s="187">
        <v>99</v>
      </c>
      <c r="D15" s="187">
        <v>99</v>
      </c>
      <c r="E15" s="187">
        <v>99</v>
      </c>
      <c r="F15" s="187">
        <v>99</v>
      </c>
      <c r="G15" s="187"/>
      <c r="H15" s="187"/>
      <c r="I15" s="187"/>
      <c r="J15" s="187"/>
      <c r="K15" s="188"/>
      <c r="L15" s="188" t="s">
        <v>389</v>
      </c>
      <c r="M15" s="162"/>
    </row>
    <row r="16" spans="1:13" ht="14.4" x14ac:dyDescent="0.3">
      <c r="A16" s="184" t="s">
        <v>390</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391</v>
      </c>
      <c r="B17" s="187">
        <v>1</v>
      </c>
      <c r="C17" s="187">
        <v>1</v>
      </c>
      <c r="D17" s="187">
        <v>1</v>
      </c>
      <c r="E17" s="187">
        <v>1</v>
      </c>
      <c r="F17" s="187">
        <v>1</v>
      </c>
      <c r="G17" s="187">
        <v>0.5</v>
      </c>
      <c r="H17" s="187">
        <v>2</v>
      </c>
      <c r="I17" s="187">
        <v>0.5</v>
      </c>
      <c r="J17" s="187">
        <v>2</v>
      </c>
      <c r="K17" s="188" t="s">
        <v>58</v>
      </c>
      <c r="L17" s="188" t="s">
        <v>392</v>
      </c>
      <c r="M17" s="162"/>
    </row>
    <row r="18" spans="1:13" ht="14.4" x14ac:dyDescent="0.3">
      <c r="A18" s="184" t="s">
        <v>393</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394</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395</v>
      </c>
      <c r="B20" s="187"/>
      <c r="C20" s="187"/>
      <c r="D20" s="187"/>
      <c r="E20" s="187"/>
      <c r="F20" s="187"/>
      <c r="G20" s="187"/>
      <c r="H20" s="187"/>
      <c r="I20" s="187"/>
      <c r="J20" s="187"/>
      <c r="K20" s="188"/>
      <c r="L20" s="188"/>
      <c r="M20" s="162"/>
    </row>
    <row r="21" spans="1:13" ht="14.4" x14ac:dyDescent="0.3">
      <c r="A21" s="184" t="s">
        <v>310</v>
      </c>
      <c r="B21" s="187">
        <v>5</v>
      </c>
      <c r="C21" s="187">
        <v>5</v>
      </c>
      <c r="D21" s="187">
        <v>3</v>
      </c>
      <c r="E21" s="187">
        <v>3</v>
      </c>
      <c r="F21" s="187">
        <v>3</v>
      </c>
      <c r="G21" s="187">
        <v>3</v>
      </c>
      <c r="H21" s="187">
        <v>3</v>
      </c>
      <c r="I21" s="187">
        <v>3</v>
      </c>
      <c r="J21" s="187">
        <v>3</v>
      </c>
      <c r="K21" s="188" t="s">
        <v>88</v>
      </c>
      <c r="L21" s="188"/>
      <c r="M21" s="162"/>
    </row>
    <row r="22" spans="1:13" ht="14.4" x14ac:dyDescent="0.3">
      <c r="A22" s="184" t="s">
        <v>396</v>
      </c>
      <c r="B22" s="187">
        <v>3</v>
      </c>
      <c r="C22" s="187">
        <v>3</v>
      </c>
      <c r="D22" s="187">
        <v>3</v>
      </c>
      <c r="E22" s="187">
        <v>3</v>
      </c>
      <c r="F22" s="187">
        <v>3</v>
      </c>
      <c r="G22" s="187">
        <v>3</v>
      </c>
      <c r="H22" s="187">
        <v>3</v>
      </c>
      <c r="I22" s="187">
        <v>3</v>
      </c>
      <c r="J22" s="187">
        <v>3</v>
      </c>
      <c r="K22" s="188" t="s">
        <v>88</v>
      </c>
      <c r="L22" s="188"/>
      <c r="M22" s="162"/>
    </row>
    <row r="23" spans="1:13" ht="14.4" x14ac:dyDescent="0.3">
      <c r="A23" s="184" t="s">
        <v>217</v>
      </c>
      <c r="B23" s="187">
        <v>20</v>
      </c>
      <c r="C23" s="187">
        <v>25</v>
      </c>
      <c r="D23" s="187">
        <v>25</v>
      </c>
      <c r="E23" s="187">
        <v>30</v>
      </c>
      <c r="F23" s="187">
        <v>30</v>
      </c>
      <c r="G23" s="187"/>
      <c r="H23" s="187"/>
      <c r="I23" s="187"/>
      <c r="J23" s="187"/>
      <c r="K23" s="188"/>
      <c r="L23" s="188">
        <v>2</v>
      </c>
      <c r="M23" s="162"/>
    </row>
    <row r="24" spans="1:13" ht="14.4" x14ac:dyDescent="0.3">
      <c r="A24" s="184" t="s">
        <v>218</v>
      </c>
      <c r="B24" s="187">
        <v>2</v>
      </c>
      <c r="C24" s="187">
        <v>2</v>
      </c>
      <c r="D24" s="187">
        <v>2</v>
      </c>
      <c r="E24" s="187">
        <v>2.5</v>
      </c>
      <c r="F24" s="187">
        <v>2.5</v>
      </c>
      <c r="G24" s="187">
        <v>1.5</v>
      </c>
      <c r="H24" s="187">
        <v>2.5</v>
      </c>
      <c r="I24" s="187">
        <v>1.5</v>
      </c>
      <c r="J24" s="187">
        <v>3</v>
      </c>
      <c r="K24" s="188" t="s">
        <v>92</v>
      </c>
      <c r="L24" s="188"/>
      <c r="M24" s="162"/>
    </row>
    <row r="25" spans="1:13" ht="14.4" x14ac:dyDescent="0.3">
      <c r="A25" s="183" t="s">
        <v>227</v>
      </c>
      <c r="B25" s="187"/>
      <c r="C25" s="187"/>
      <c r="D25" s="187"/>
      <c r="E25" s="187"/>
      <c r="F25" s="187"/>
      <c r="G25" s="187"/>
      <c r="H25" s="187"/>
      <c r="I25" s="187"/>
      <c r="J25" s="187"/>
      <c r="K25" s="188"/>
      <c r="L25" s="188"/>
      <c r="M25" s="162"/>
    </row>
    <row r="26" spans="1:13" ht="14.4" x14ac:dyDescent="0.3">
      <c r="A26" s="184" t="s">
        <v>397</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398</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399</v>
      </c>
      <c r="B28" s="187"/>
      <c r="C28" s="187"/>
      <c r="D28" s="187"/>
      <c r="E28" s="187"/>
      <c r="F28" s="187"/>
      <c r="G28" s="187"/>
      <c r="H28" s="187"/>
      <c r="I28" s="187"/>
      <c r="J28" s="187"/>
      <c r="K28" s="188" t="s">
        <v>94</v>
      </c>
      <c r="L28" s="188">
        <v>8</v>
      </c>
      <c r="M28" s="162"/>
    </row>
    <row r="29" spans="1:13" ht="14.4" x14ac:dyDescent="0.3">
      <c r="A29" s="184" t="s">
        <v>400</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401</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402</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403</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67" t="s">
        <v>430</v>
      </c>
      <c r="O1" s="369" t="s">
        <v>431</v>
      </c>
      <c r="P1" s="369"/>
      <c r="Q1" s="369"/>
      <c r="R1" s="369"/>
      <c r="S1" s="369"/>
      <c r="T1" s="369"/>
      <c r="U1" s="369"/>
      <c r="V1" s="369"/>
      <c r="W1" s="369"/>
      <c r="X1" s="369"/>
      <c r="Y1" s="369"/>
      <c r="Z1" s="370"/>
    </row>
    <row r="2" spans="1:26" ht="15" thickBot="1" x14ac:dyDescent="0.35">
      <c r="A2" s="195" t="s">
        <v>71</v>
      </c>
      <c r="B2" s="371" t="s">
        <v>432</v>
      </c>
      <c r="C2" s="372"/>
      <c r="D2" s="372"/>
      <c r="E2" s="372"/>
      <c r="F2" s="372"/>
      <c r="G2" s="372"/>
      <c r="H2" s="372"/>
      <c r="I2" s="372"/>
      <c r="J2" s="372"/>
      <c r="K2" s="373"/>
      <c r="N2" s="368"/>
      <c r="O2" s="374" t="s">
        <v>433</v>
      </c>
      <c r="P2" s="375"/>
      <c r="Q2" s="375"/>
      <c r="R2" s="376"/>
      <c r="S2" s="375" t="s">
        <v>434</v>
      </c>
      <c r="T2" s="375"/>
      <c r="U2" s="375"/>
      <c r="V2" s="375"/>
      <c r="W2" s="374" t="s">
        <v>435</v>
      </c>
      <c r="X2" s="375"/>
      <c r="Y2" s="375"/>
      <c r="Z2" s="377"/>
    </row>
    <row r="3" spans="1:26" ht="13.8" thickBot="1" x14ac:dyDescent="0.3">
      <c r="A3" s="378" t="s">
        <v>74</v>
      </c>
      <c r="B3" s="380">
        <v>2020</v>
      </c>
      <c r="C3" s="380">
        <v>2030</v>
      </c>
      <c r="D3" s="380">
        <v>2040</v>
      </c>
      <c r="E3" s="380">
        <v>2050</v>
      </c>
      <c r="F3" s="393">
        <v>2030</v>
      </c>
      <c r="G3" s="383"/>
      <c r="H3" s="382">
        <v>2050</v>
      </c>
      <c r="I3" s="383"/>
      <c r="J3" s="380" t="s">
        <v>72</v>
      </c>
      <c r="K3" s="380" t="s">
        <v>73</v>
      </c>
      <c r="N3" s="196" t="s">
        <v>436</v>
      </c>
      <c r="O3" s="197" t="s">
        <v>437</v>
      </c>
      <c r="P3" s="197" t="s">
        <v>438</v>
      </c>
      <c r="Q3" s="197" t="s">
        <v>439</v>
      </c>
      <c r="R3" s="197" t="s">
        <v>440</v>
      </c>
      <c r="S3" s="197" t="s">
        <v>437</v>
      </c>
      <c r="T3" s="197" t="s">
        <v>438</v>
      </c>
      <c r="U3" s="197" t="s">
        <v>439</v>
      </c>
      <c r="V3" s="197" t="s">
        <v>440</v>
      </c>
      <c r="W3" s="197" t="s">
        <v>437</v>
      </c>
      <c r="X3" s="197" t="s">
        <v>438</v>
      </c>
      <c r="Y3" s="197" t="s">
        <v>439</v>
      </c>
      <c r="Z3" s="198" t="s">
        <v>440</v>
      </c>
    </row>
    <row r="4" spans="1:26" ht="24.6" thickBot="1" x14ac:dyDescent="0.3">
      <c r="A4" s="379"/>
      <c r="B4" s="381"/>
      <c r="C4" s="381"/>
      <c r="D4" s="381"/>
      <c r="E4" s="381"/>
      <c r="F4" s="199" t="s">
        <v>75</v>
      </c>
      <c r="G4" s="199" t="s">
        <v>76</v>
      </c>
      <c r="H4" s="199" t="s">
        <v>75</v>
      </c>
      <c r="I4" s="199" t="s">
        <v>76</v>
      </c>
      <c r="J4" s="381"/>
      <c r="K4" s="381"/>
      <c r="N4" s="200" t="s">
        <v>441</v>
      </c>
      <c r="O4" s="201">
        <v>0</v>
      </c>
      <c r="P4" s="201">
        <v>0</v>
      </c>
      <c r="Q4" s="201">
        <v>0</v>
      </c>
      <c r="R4" s="201">
        <v>0</v>
      </c>
      <c r="S4" s="201">
        <v>1</v>
      </c>
      <c r="T4" s="201">
        <v>1</v>
      </c>
      <c r="U4" s="201">
        <v>1</v>
      </c>
      <c r="V4" s="201">
        <v>0</v>
      </c>
      <c r="W4" s="201">
        <v>0</v>
      </c>
      <c r="X4" s="201">
        <v>0</v>
      </c>
      <c r="Y4" s="201">
        <v>0</v>
      </c>
      <c r="Z4" s="202">
        <v>0</v>
      </c>
    </row>
    <row r="5" spans="1:26" x14ac:dyDescent="0.25">
      <c r="A5" s="203" t="s">
        <v>442</v>
      </c>
      <c r="B5" s="204">
        <v>15</v>
      </c>
      <c r="C5" s="205">
        <v>15</v>
      </c>
      <c r="D5" s="205">
        <v>15</v>
      </c>
      <c r="E5" s="205">
        <v>15</v>
      </c>
      <c r="F5" s="205">
        <v>5</v>
      </c>
      <c r="G5" s="205">
        <v>60</v>
      </c>
      <c r="H5" s="205">
        <v>5</v>
      </c>
      <c r="I5" s="205">
        <v>60</v>
      </c>
      <c r="J5" s="205" t="s">
        <v>78</v>
      </c>
      <c r="K5" s="206"/>
      <c r="N5" s="207" t="s">
        <v>443</v>
      </c>
      <c r="O5" s="201">
        <v>0</v>
      </c>
      <c r="P5" s="201">
        <v>0</v>
      </c>
      <c r="Q5" s="201">
        <v>0</v>
      </c>
      <c r="R5" s="201">
        <v>0</v>
      </c>
      <c r="S5" s="201">
        <v>1</v>
      </c>
      <c r="T5" s="201">
        <v>1</v>
      </c>
      <c r="U5" s="201">
        <v>1</v>
      </c>
      <c r="V5" s="201">
        <v>0</v>
      </c>
      <c r="W5" s="201">
        <v>0</v>
      </c>
      <c r="X5" s="201">
        <v>0</v>
      </c>
      <c r="Y5" s="201">
        <v>0</v>
      </c>
      <c r="Z5" s="202">
        <v>0</v>
      </c>
    </row>
    <row r="6" spans="1:26" x14ac:dyDescent="0.25">
      <c r="A6" s="208" t="s">
        <v>444</v>
      </c>
      <c r="B6" s="204">
        <v>99</v>
      </c>
      <c r="C6" s="204">
        <v>99</v>
      </c>
      <c r="D6" s="204">
        <v>99</v>
      </c>
      <c r="E6" s="204">
        <v>99</v>
      </c>
      <c r="F6" s="204">
        <v>98</v>
      </c>
      <c r="G6" s="204">
        <v>100</v>
      </c>
      <c r="H6" s="204">
        <v>98</v>
      </c>
      <c r="I6" s="204">
        <v>100</v>
      </c>
      <c r="J6" s="205"/>
      <c r="K6" s="206" t="s">
        <v>445</v>
      </c>
      <c r="N6" s="209" t="s">
        <v>446</v>
      </c>
      <c r="O6" s="201">
        <v>0</v>
      </c>
      <c r="P6" s="201">
        <v>0</v>
      </c>
      <c r="Q6" s="201">
        <v>0</v>
      </c>
      <c r="R6" s="201">
        <v>0</v>
      </c>
      <c r="S6" s="201">
        <v>1</v>
      </c>
      <c r="T6" s="201">
        <v>1</v>
      </c>
      <c r="U6" s="201">
        <v>1</v>
      </c>
      <c r="V6" s="201">
        <v>0</v>
      </c>
      <c r="W6" s="201">
        <v>0</v>
      </c>
      <c r="X6" s="201">
        <v>0</v>
      </c>
      <c r="Y6" s="201">
        <v>0</v>
      </c>
      <c r="Z6" s="202">
        <v>0</v>
      </c>
    </row>
    <row r="7" spans="1:26" x14ac:dyDescent="0.25">
      <c r="A7" s="208" t="s">
        <v>447</v>
      </c>
      <c r="B7" s="210">
        <v>99</v>
      </c>
      <c r="C7" s="210">
        <v>99</v>
      </c>
      <c r="D7" s="210">
        <v>99</v>
      </c>
      <c r="E7" s="210">
        <v>99</v>
      </c>
      <c r="F7" s="210">
        <v>98</v>
      </c>
      <c r="G7" s="210">
        <v>99</v>
      </c>
      <c r="H7" s="210">
        <v>98</v>
      </c>
      <c r="I7" s="210">
        <v>99</v>
      </c>
      <c r="J7" s="205"/>
      <c r="K7" s="206" t="s">
        <v>445</v>
      </c>
      <c r="N7" s="209" t="s">
        <v>448</v>
      </c>
      <c r="O7" s="201">
        <v>0</v>
      </c>
      <c r="P7" s="201">
        <v>0</v>
      </c>
      <c r="Q7" s="201">
        <v>0</v>
      </c>
      <c r="R7" s="201">
        <v>0</v>
      </c>
      <c r="S7" s="201">
        <v>1</v>
      </c>
      <c r="T7" s="201">
        <v>1</v>
      </c>
      <c r="U7" s="201">
        <v>1</v>
      </c>
      <c r="V7" s="201">
        <v>0</v>
      </c>
      <c r="W7" s="201">
        <v>0</v>
      </c>
      <c r="X7" s="201">
        <v>0</v>
      </c>
      <c r="Y7" s="201">
        <v>0</v>
      </c>
      <c r="Z7" s="202">
        <v>0</v>
      </c>
    </row>
    <row r="8" spans="1:26" x14ac:dyDescent="0.25">
      <c r="A8" s="208" t="s">
        <v>449</v>
      </c>
      <c r="B8" s="204">
        <v>0.5</v>
      </c>
      <c r="C8" s="204">
        <v>0.5</v>
      </c>
      <c r="D8" s="204">
        <v>0.5</v>
      </c>
      <c r="E8" s="204">
        <v>0.5</v>
      </c>
      <c r="F8" s="211">
        <v>0.1</v>
      </c>
      <c r="G8" s="211">
        <v>0.5</v>
      </c>
      <c r="H8" s="211">
        <v>0.1</v>
      </c>
      <c r="I8" s="211">
        <v>0.5</v>
      </c>
      <c r="J8" s="205"/>
      <c r="K8" s="206" t="s">
        <v>445</v>
      </c>
      <c r="N8" s="209" t="s">
        <v>450</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445</v>
      </c>
      <c r="N9" s="209" t="s">
        <v>451</v>
      </c>
      <c r="O9" s="201">
        <v>0</v>
      </c>
      <c r="P9" s="201">
        <v>0</v>
      </c>
      <c r="Q9" s="201">
        <v>0</v>
      </c>
      <c r="R9" s="201">
        <v>0</v>
      </c>
      <c r="S9" s="201">
        <v>1</v>
      </c>
      <c r="T9" s="201">
        <v>1</v>
      </c>
      <c r="U9" s="201">
        <v>1</v>
      </c>
      <c r="V9" s="201">
        <v>0</v>
      </c>
      <c r="W9" s="201">
        <v>0</v>
      </c>
      <c r="X9" s="201">
        <v>0</v>
      </c>
      <c r="Y9" s="201">
        <v>0</v>
      </c>
      <c r="Z9" s="202">
        <v>0</v>
      </c>
    </row>
    <row r="10" spans="1:26" x14ac:dyDescent="0.25">
      <c r="A10" s="208" t="s">
        <v>452</v>
      </c>
      <c r="B10" s="204">
        <v>0.2</v>
      </c>
      <c r="C10" s="205">
        <v>0.2</v>
      </c>
      <c r="D10" s="205">
        <v>0.2</v>
      </c>
      <c r="E10" s="212">
        <v>0.2</v>
      </c>
      <c r="F10" s="205">
        <v>0.2</v>
      </c>
      <c r="G10" s="205">
        <v>0.2</v>
      </c>
      <c r="H10" s="205">
        <v>0.2</v>
      </c>
      <c r="I10" s="205">
        <v>0.2</v>
      </c>
      <c r="J10" s="205"/>
      <c r="K10" s="206">
        <v>2</v>
      </c>
      <c r="N10" s="207" t="s">
        <v>453</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454</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455</v>
      </c>
      <c r="B13" s="217"/>
      <c r="C13" s="218"/>
      <c r="D13" s="219"/>
      <c r="E13" s="220"/>
      <c r="F13" s="221"/>
      <c r="G13" s="221"/>
      <c r="H13" s="221"/>
      <c r="I13" s="221"/>
      <c r="J13" s="222"/>
      <c r="K13" s="223"/>
    </row>
    <row r="14" spans="1:26" x14ac:dyDescent="0.25">
      <c r="A14" s="208" t="s">
        <v>456</v>
      </c>
      <c r="B14" s="204">
        <v>2</v>
      </c>
      <c r="C14" s="205">
        <v>2</v>
      </c>
      <c r="D14" s="205">
        <v>2</v>
      </c>
      <c r="E14" s="212">
        <v>2</v>
      </c>
      <c r="F14" s="205"/>
      <c r="G14" s="205"/>
      <c r="H14" s="205"/>
      <c r="I14" s="205"/>
      <c r="J14" s="224"/>
      <c r="K14" s="225">
        <v>2</v>
      </c>
    </row>
    <row r="15" spans="1:26" x14ac:dyDescent="0.25">
      <c r="A15" s="208" t="s">
        <v>457</v>
      </c>
      <c r="B15" s="226">
        <v>0.03</v>
      </c>
      <c r="C15" s="226">
        <v>0.03</v>
      </c>
      <c r="D15" s="226">
        <v>0.03</v>
      </c>
      <c r="E15" s="226">
        <v>0.03</v>
      </c>
      <c r="F15" s="205"/>
      <c r="G15" s="205"/>
      <c r="H15" s="205"/>
      <c r="I15" s="205"/>
      <c r="J15" s="224"/>
      <c r="K15" s="225">
        <v>2</v>
      </c>
    </row>
    <row r="16" spans="1:26" x14ac:dyDescent="0.25">
      <c r="A16" s="208" t="s">
        <v>458</v>
      </c>
      <c r="B16" s="226">
        <v>0.17</v>
      </c>
      <c r="C16" s="226">
        <v>0.17</v>
      </c>
      <c r="D16" s="226">
        <v>0.17</v>
      </c>
      <c r="E16" s="226">
        <v>0.17</v>
      </c>
      <c r="F16" s="205"/>
      <c r="G16" s="205"/>
      <c r="H16" s="205"/>
      <c r="I16" s="205"/>
      <c r="J16" s="224"/>
      <c r="K16" s="227">
        <v>2</v>
      </c>
    </row>
    <row r="17" spans="1:11" x14ac:dyDescent="0.25">
      <c r="A17" s="228" t="s">
        <v>459</v>
      </c>
      <c r="B17" s="229"/>
      <c r="C17" s="230"/>
      <c r="D17" s="230"/>
      <c r="E17" s="231"/>
      <c r="F17" s="230"/>
      <c r="G17" s="230"/>
      <c r="H17" s="230"/>
      <c r="I17" s="230"/>
      <c r="J17" s="224"/>
      <c r="K17" s="225"/>
    </row>
    <row r="18" spans="1:11" ht="15.6" x14ac:dyDescent="0.25">
      <c r="A18" s="208" t="s">
        <v>460</v>
      </c>
      <c r="B18" s="384" t="s">
        <v>461</v>
      </c>
      <c r="C18" s="385"/>
      <c r="D18" s="385"/>
      <c r="E18" s="386"/>
      <c r="F18" s="232"/>
      <c r="G18" s="232"/>
      <c r="H18" s="232"/>
      <c r="I18" s="232"/>
      <c r="J18" s="224"/>
      <c r="K18" s="225"/>
    </row>
    <row r="19" spans="1:11" x14ac:dyDescent="0.25">
      <c r="A19" s="208" t="s">
        <v>462</v>
      </c>
      <c r="B19" s="387"/>
      <c r="C19" s="388"/>
      <c r="D19" s="388"/>
      <c r="E19" s="389"/>
      <c r="F19" s="232"/>
      <c r="G19" s="232"/>
      <c r="H19" s="232"/>
      <c r="I19" s="232"/>
      <c r="J19" s="224"/>
      <c r="K19" s="225"/>
    </row>
    <row r="20" spans="1:11" ht="15.6" x14ac:dyDescent="0.25">
      <c r="A20" s="208" t="s">
        <v>463</v>
      </c>
      <c r="B20" s="387"/>
      <c r="C20" s="388"/>
      <c r="D20" s="388"/>
      <c r="E20" s="389"/>
      <c r="F20" s="232"/>
      <c r="G20" s="232"/>
      <c r="H20" s="232"/>
      <c r="I20" s="232"/>
      <c r="J20" s="224"/>
      <c r="K20" s="225"/>
    </row>
    <row r="21" spans="1:11" x14ac:dyDescent="0.25">
      <c r="A21" s="208" t="s">
        <v>464</v>
      </c>
      <c r="B21" s="387"/>
      <c r="C21" s="388"/>
      <c r="D21" s="388"/>
      <c r="E21" s="389"/>
      <c r="F21" s="232"/>
      <c r="G21" s="232"/>
      <c r="H21" s="232"/>
      <c r="I21" s="232"/>
      <c r="J21" s="224"/>
      <c r="K21" s="225"/>
    </row>
    <row r="22" spans="1:11" ht="13.8" thickBot="1" x14ac:dyDescent="0.3">
      <c r="A22" s="233" t="s">
        <v>465</v>
      </c>
      <c r="B22" s="387"/>
      <c r="C22" s="388"/>
      <c r="D22" s="388"/>
      <c r="E22" s="389"/>
      <c r="F22" s="205"/>
      <c r="G22" s="205"/>
      <c r="H22" s="205"/>
      <c r="I22" s="205"/>
      <c r="J22" s="224"/>
      <c r="K22" s="225"/>
    </row>
    <row r="23" spans="1:11" ht="13.8" thickBot="1" x14ac:dyDescent="0.3">
      <c r="A23" s="234" t="s">
        <v>466</v>
      </c>
      <c r="B23" s="235"/>
      <c r="C23" s="218"/>
      <c r="D23" s="218"/>
      <c r="E23" s="236"/>
      <c r="F23" s="237"/>
      <c r="G23" s="221"/>
      <c r="H23" s="221"/>
      <c r="I23" s="221"/>
      <c r="J23" s="222"/>
      <c r="K23" s="223"/>
    </row>
    <row r="24" spans="1:11" x14ac:dyDescent="0.25">
      <c r="A24" s="203" t="s">
        <v>467</v>
      </c>
      <c r="B24" s="238">
        <v>9.555555555555556E-2</v>
      </c>
      <c r="C24" s="239">
        <v>8.3611111111111122E-2</v>
      </c>
      <c r="D24" s="239">
        <v>8.3611111111111122E-2</v>
      </c>
      <c r="E24" s="239">
        <v>8.3611111111111122E-2</v>
      </c>
      <c r="F24" s="232"/>
      <c r="G24" s="232"/>
      <c r="H24" s="232"/>
      <c r="I24" s="232"/>
      <c r="J24" s="225" t="s">
        <v>468</v>
      </c>
      <c r="K24" s="225" t="s">
        <v>469</v>
      </c>
    </row>
    <row r="25" spans="1:11" x14ac:dyDescent="0.25">
      <c r="A25" s="208" t="s">
        <v>470</v>
      </c>
      <c r="B25" s="204">
        <v>85</v>
      </c>
      <c r="C25" s="205">
        <v>85</v>
      </c>
      <c r="D25" s="205">
        <v>85</v>
      </c>
      <c r="E25" s="212">
        <v>85</v>
      </c>
      <c r="F25" s="232"/>
      <c r="G25" s="232"/>
      <c r="H25" s="232"/>
      <c r="I25" s="232"/>
      <c r="J25" s="224"/>
      <c r="K25" s="225">
        <v>2</v>
      </c>
    </row>
    <row r="26" spans="1:11" x14ac:dyDescent="0.25">
      <c r="A26" s="208" t="s">
        <v>471</v>
      </c>
      <c r="B26" s="204">
        <v>15</v>
      </c>
      <c r="C26" s="205">
        <v>15</v>
      </c>
      <c r="D26" s="205">
        <v>15</v>
      </c>
      <c r="E26" s="212">
        <v>15</v>
      </c>
      <c r="F26" s="232"/>
      <c r="G26" s="232"/>
      <c r="H26" s="232"/>
      <c r="I26" s="232"/>
      <c r="J26" s="224"/>
      <c r="K26" s="225">
        <v>2</v>
      </c>
    </row>
    <row r="27" spans="1:11" x14ac:dyDescent="0.25">
      <c r="A27" s="208" t="s">
        <v>472</v>
      </c>
      <c r="B27" s="210">
        <v>1107.45</v>
      </c>
      <c r="C27" s="240">
        <v>1055.7</v>
      </c>
      <c r="D27" s="240">
        <v>1003.95</v>
      </c>
      <c r="E27" s="241">
        <v>952.2</v>
      </c>
      <c r="F27" s="232"/>
      <c r="G27" s="232"/>
      <c r="H27" s="232"/>
      <c r="I27" s="232"/>
      <c r="J27" s="224"/>
      <c r="K27" s="225" t="s">
        <v>473</v>
      </c>
    </row>
    <row r="28" spans="1:11" x14ac:dyDescent="0.25">
      <c r="A28" s="208" t="s">
        <v>474</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475</v>
      </c>
      <c r="B29" s="242">
        <f>B8/100*73</f>
        <v>0.36499999999999999</v>
      </c>
      <c r="C29" s="242">
        <f>C8/100*75</f>
        <v>0.375</v>
      </c>
      <c r="D29" s="242">
        <f>D8/100*76</f>
        <v>0.38</v>
      </c>
      <c r="E29" s="242">
        <f>E8/100*76</f>
        <v>0.38</v>
      </c>
      <c r="F29" s="232"/>
      <c r="G29" s="232"/>
      <c r="H29" s="232"/>
      <c r="I29" s="232"/>
      <c r="J29" s="224" t="s">
        <v>90</v>
      </c>
      <c r="K29" s="225"/>
    </row>
    <row r="30" spans="1:11" x14ac:dyDescent="0.25">
      <c r="A30" s="208" t="s">
        <v>476</v>
      </c>
      <c r="B30" s="243">
        <v>0.51750000000000007</v>
      </c>
      <c r="C30" s="243">
        <v>0.49331775700934588</v>
      </c>
      <c r="D30" s="243">
        <v>0.46913551401869164</v>
      </c>
      <c r="E30" s="243">
        <v>0.44495327102803744</v>
      </c>
      <c r="F30" s="232"/>
      <c r="G30" s="232"/>
      <c r="H30" s="232"/>
      <c r="I30" s="232"/>
      <c r="J30" s="224"/>
      <c r="K30" s="225" t="s">
        <v>473</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203</v>
      </c>
      <c r="B33" s="246"/>
      <c r="C33" s="247"/>
      <c r="D33" s="248"/>
      <c r="E33" s="249"/>
      <c r="F33" s="250"/>
      <c r="G33" s="250"/>
      <c r="H33" s="250"/>
      <c r="I33" s="250"/>
      <c r="J33" s="251"/>
      <c r="K33" s="252"/>
    </row>
    <row r="34" spans="1:11" x14ac:dyDescent="0.25">
      <c r="A34" s="253" t="s">
        <v>477</v>
      </c>
      <c r="B34" s="254" t="s">
        <v>85</v>
      </c>
      <c r="C34" s="254" t="s">
        <v>85</v>
      </c>
      <c r="D34" s="254" t="s">
        <v>85</v>
      </c>
      <c r="E34" s="254" t="s">
        <v>85</v>
      </c>
      <c r="F34" s="255"/>
      <c r="G34" s="255"/>
      <c r="H34" s="255"/>
      <c r="I34" s="255"/>
      <c r="J34" s="256" t="s">
        <v>58</v>
      </c>
      <c r="K34" s="257"/>
    </row>
    <row r="35" spans="1:11" ht="26.4" x14ac:dyDescent="0.25">
      <c r="A35" s="203" t="s">
        <v>478</v>
      </c>
      <c r="B35" s="258">
        <v>1.7645202020202019E-2</v>
      </c>
      <c r="C35" s="258">
        <v>1.5439551767676779E-2</v>
      </c>
      <c r="D35" s="258">
        <v>1.5439551767676779E-2</v>
      </c>
      <c r="E35" s="258">
        <v>1.5439551767676779E-2</v>
      </c>
      <c r="F35" s="259"/>
      <c r="G35" s="259"/>
      <c r="H35" s="259"/>
      <c r="I35" s="259"/>
      <c r="J35" s="260"/>
      <c r="K35" s="261"/>
    </row>
    <row r="36" spans="1:11" x14ac:dyDescent="0.25">
      <c r="A36" s="208" t="s">
        <v>479</v>
      </c>
      <c r="B36" s="205" t="s">
        <v>85</v>
      </c>
      <c r="C36" s="205" t="s">
        <v>85</v>
      </c>
      <c r="D36" s="205" t="s">
        <v>85</v>
      </c>
      <c r="E36" s="205" t="s">
        <v>85</v>
      </c>
      <c r="F36" s="232"/>
      <c r="G36" s="232"/>
      <c r="H36" s="232"/>
      <c r="I36" s="232"/>
      <c r="J36" s="224"/>
      <c r="K36" s="225"/>
    </row>
    <row r="37" spans="1:11" x14ac:dyDescent="0.25">
      <c r="A37" s="208" t="s">
        <v>480</v>
      </c>
      <c r="B37" s="205" t="s">
        <v>85</v>
      </c>
      <c r="C37" s="205" t="s">
        <v>85</v>
      </c>
      <c r="D37" s="205" t="s">
        <v>85</v>
      </c>
      <c r="E37" s="205" t="s">
        <v>85</v>
      </c>
      <c r="F37" s="232"/>
      <c r="G37" s="232"/>
      <c r="H37" s="232"/>
      <c r="I37" s="232"/>
      <c r="J37" s="224"/>
      <c r="K37" s="225"/>
    </row>
    <row r="38" spans="1:11" ht="26.4" x14ac:dyDescent="0.25">
      <c r="A38" s="208" t="s">
        <v>481</v>
      </c>
      <c r="B38" s="390" t="s">
        <v>461</v>
      </c>
      <c r="C38" s="391"/>
      <c r="D38" s="391"/>
      <c r="E38" s="392"/>
      <c r="F38" s="232"/>
      <c r="G38" s="232"/>
      <c r="H38" s="232"/>
      <c r="I38" s="232"/>
      <c r="J38" s="224"/>
      <c r="K38" s="245"/>
    </row>
    <row r="39" spans="1:11" x14ac:dyDescent="0.25">
      <c r="A39" s="233" t="s">
        <v>482</v>
      </c>
      <c r="B39" s="205" t="s">
        <v>85</v>
      </c>
      <c r="C39" s="205" t="s">
        <v>85</v>
      </c>
      <c r="D39" s="205" t="s">
        <v>85</v>
      </c>
      <c r="E39" s="205" t="s">
        <v>85</v>
      </c>
      <c r="F39" s="232"/>
      <c r="G39" s="232"/>
      <c r="H39" s="232"/>
      <c r="I39" s="232"/>
      <c r="J39" s="224"/>
      <c r="K39" s="225"/>
    </row>
    <row r="40" spans="1:11" x14ac:dyDescent="0.25">
      <c r="A40" s="233" t="s">
        <v>483</v>
      </c>
      <c r="B40" s="205" t="s">
        <v>85</v>
      </c>
      <c r="C40" s="205" t="s">
        <v>85</v>
      </c>
      <c r="D40" s="205" t="s">
        <v>85</v>
      </c>
      <c r="E40" s="205" t="s">
        <v>85</v>
      </c>
      <c r="F40" s="232"/>
      <c r="G40" s="232"/>
      <c r="H40" s="232"/>
      <c r="I40" s="232"/>
      <c r="J40" s="224"/>
      <c r="K40" s="225"/>
    </row>
    <row r="41" spans="1:11" ht="13.8" thickBot="1" x14ac:dyDescent="0.3">
      <c r="A41" s="262" t="s">
        <v>484</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485</v>
      </c>
      <c r="B44" s="51"/>
      <c r="C44" s="51"/>
      <c r="D44" s="36"/>
      <c r="E44" s="36"/>
      <c r="F44" s="36"/>
      <c r="G44" s="36"/>
      <c r="H44" s="36"/>
      <c r="I44" s="36"/>
      <c r="J44" s="36"/>
      <c r="K44" s="36"/>
    </row>
    <row r="45" spans="1:11" x14ac:dyDescent="0.25">
      <c r="A45" s="268">
        <v>1</v>
      </c>
      <c r="B45" s="36" t="s">
        <v>486</v>
      </c>
      <c r="C45" s="36"/>
      <c r="D45" s="36"/>
      <c r="E45" s="36"/>
      <c r="F45" s="36"/>
      <c r="G45" s="36"/>
      <c r="H45" s="36"/>
      <c r="I45" s="36"/>
      <c r="J45" s="36"/>
      <c r="K45" s="36"/>
    </row>
    <row r="46" spans="1:11" x14ac:dyDescent="0.25">
      <c r="A46" s="268">
        <v>2</v>
      </c>
      <c r="B46" s="37" t="s">
        <v>487</v>
      </c>
      <c r="C46" s="36"/>
      <c r="D46" s="36"/>
      <c r="E46" s="36"/>
      <c r="F46" s="36"/>
      <c r="G46" s="36"/>
      <c r="H46" s="36"/>
      <c r="I46" s="36"/>
      <c r="J46" s="36"/>
      <c r="K46" s="36"/>
    </row>
    <row r="47" spans="1:11" x14ac:dyDescent="0.25">
      <c r="A47" s="268">
        <v>3</v>
      </c>
      <c r="B47" s="37" t="s">
        <v>488</v>
      </c>
      <c r="C47" s="36"/>
      <c r="D47" s="36"/>
      <c r="E47" s="36"/>
      <c r="F47" s="36"/>
      <c r="G47" s="36"/>
      <c r="H47" s="36"/>
      <c r="I47" s="36"/>
      <c r="J47" s="36"/>
      <c r="K47" s="36"/>
    </row>
    <row r="48" spans="1:11" x14ac:dyDescent="0.25">
      <c r="A48" s="268">
        <v>4</v>
      </c>
      <c r="B48" s="37" t="s">
        <v>489</v>
      </c>
      <c r="C48" s="36"/>
      <c r="D48" s="36"/>
      <c r="E48" s="36"/>
      <c r="F48" s="36"/>
      <c r="G48" s="36"/>
      <c r="H48" s="36"/>
      <c r="I48" s="36"/>
      <c r="J48" s="36"/>
      <c r="K48" s="36"/>
    </row>
    <row r="49" spans="1:11" x14ac:dyDescent="0.25">
      <c r="A49" s="51" t="s">
        <v>490</v>
      </c>
      <c r="B49" s="51"/>
      <c r="C49" s="36"/>
      <c r="D49" s="36"/>
      <c r="E49" s="36"/>
      <c r="F49" s="36"/>
      <c r="G49" s="36"/>
      <c r="H49" s="36"/>
      <c r="I49" s="36"/>
      <c r="J49" s="36"/>
      <c r="K49" s="36"/>
    </row>
    <row r="50" spans="1:11" x14ac:dyDescent="0.25">
      <c r="A50" s="268" t="s">
        <v>78</v>
      </c>
      <c r="B50" s="36" t="s">
        <v>491</v>
      </c>
      <c r="C50" s="36"/>
      <c r="D50" s="36"/>
      <c r="E50" s="36"/>
      <c r="F50" s="36"/>
      <c r="G50" s="36"/>
      <c r="H50" s="36"/>
      <c r="I50" s="36"/>
      <c r="J50" s="36"/>
      <c r="K50" s="36"/>
    </row>
    <row r="51" spans="1:11" x14ac:dyDescent="0.25">
      <c r="A51" s="268" t="s">
        <v>77</v>
      </c>
      <c r="B51" s="37" t="s">
        <v>492</v>
      </c>
      <c r="C51" s="36"/>
      <c r="D51" s="36"/>
      <c r="E51" s="36"/>
      <c r="F51" s="36"/>
      <c r="G51" s="36"/>
      <c r="H51" s="36"/>
      <c r="I51" s="36"/>
      <c r="J51" s="36"/>
      <c r="K51" s="36"/>
    </row>
    <row r="52" spans="1:11" x14ac:dyDescent="0.25">
      <c r="A52" s="269" t="s">
        <v>67</v>
      </c>
      <c r="B52" s="36" t="s">
        <v>493</v>
      </c>
      <c r="C52" s="36"/>
      <c r="D52" s="36"/>
      <c r="E52" s="36"/>
      <c r="F52" s="36"/>
      <c r="G52" s="36"/>
      <c r="H52" s="36"/>
      <c r="I52" s="36"/>
      <c r="J52" s="36"/>
      <c r="K52" s="36"/>
    </row>
    <row r="53" spans="1:11" x14ac:dyDescent="0.25">
      <c r="A53" s="268" t="s">
        <v>90</v>
      </c>
      <c r="B53" s="270" t="s">
        <v>494</v>
      </c>
      <c r="C53" s="36"/>
      <c r="D53" s="36"/>
      <c r="E53" s="36"/>
      <c r="F53" s="36"/>
      <c r="G53" s="36"/>
      <c r="H53" s="36"/>
      <c r="I53" s="36"/>
      <c r="J53" s="36"/>
      <c r="K53" s="36"/>
    </row>
    <row r="54" spans="1:11" x14ac:dyDescent="0.25">
      <c r="A54" s="268" t="s">
        <v>58</v>
      </c>
      <c r="B54" s="36" t="s">
        <v>495</v>
      </c>
      <c r="C54" s="36"/>
      <c r="D54" s="36"/>
      <c r="E54" s="36"/>
      <c r="F54" s="36"/>
      <c r="G54" s="36"/>
      <c r="H54" s="36"/>
      <c r="I54" s="36"/>
      <c r="J54" s="36"/>
      <c r="K54" s="36"/>
    </row>
    <row r="55" spans="1:11" x14ac:dyDescent="0.25">
      <c r="A55" s="271"/>
      <c r="B55" s="270"/>
      <c r="C55" s="51"/>
      <c r="D55" s="51"/>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2"/>
  <sheetViews>
    <sheetView zoomScale="71" zoomScaleNormal="90" workbookViewId="0">
      <selection activeCell="D20" sqref="D20:E20"/>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179</v>
      </c>
      <c r="X4" s="61" t="s">
        <v>164</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157</v>
      </c>
      <c r="E7" s="13" t="s">
        <v>5</v>
      </c>
      <c r="F7" s="13" t="s">
        <v>6</v>
      </c>
      <c r="G7" s="13" t="s">
        <v>61</v>
      </c>
      <c r="H7" s="38" t="s">
        <v>68</v>
      </c>
      <c r="I7" s="29" t="s">
        <v>106</v>
      </c>
      <c r="J7" s="39" t="s">
        <v>50</v>
      </c>
      <c r="K7" s="39" t="s">
        <v>48</v>
      </c>
      <c r="L7" s="39" t="s">
        <v>49</v>
      </c>
      <c r="M7" s="39" t="s">
        <v>64</v>
      </c>
      <c r="N7" s="38" t="s">
        <v>46</v>
      </c>
      <c r="O7" s="38" t="s">
        <v>70</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158</v>
      </c>
      <c r="E8" s="11" t="s">
        <v>32</v>
      </c>
      <c r="F8" s="11" t="s">
        <v>33</v>
      </c>
      <c r="G8" s="11"/>
      <c r="H8" s="40"/>
      <c r="I8" s="31" t="s">
        <v>112</v>
      </c>
      <c r="J8" s="40" t="s">
        <v>52</v>
      </c>
      <c r="K8" s="40" t="s">
        <v>56</v>
      </c>
      <c r="L8" s="40" t="s">
        <v>55</v>
      </c>
      <c r="M8" s="40" t="s">
        <v>65</v>
      </c>
      <c r="N8" s="40" t="s">
        <v>69</v>
      </c>
      <c r="O8" s="40" t="s">
        <v>66</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565</v>
      </c>
      <c r="J9" s="41"/>
      <c r="K9" s="41" t="s">
        <v>96</v>
      </c>
      <c r="L9" s="41" t="s">
        <v>201</v>
      </c>
      <c r="M9" s="41" t="s">
        <v>200</v>
      </c>
      <c r="N9" s="41" t="s">
        <v>54</v>
      </c>
      <c r="O9" s="41" t="s">
        <v>97</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Q10" s="20"/>
      <c r="R10" s="32" t="s">
        <v>63</v>
      </c>
      <c r="S10" s="32"/>
      <c r="T10" s="32" t="s">
        <v>99</v>
      </c>
      <c r="U10" s="32" t="s">
        <v>269</v>
      </c>
      <c r="V10" s="32" t="s">
        <v>45</v>
      </c>
      <c r="W10" s="32" t="s">
        <v>62</v>
      </c>
      <c r="X10" s="61" t="s">
        <v>164</v>
      </c>
      <c r="Y10" s="32"/>
      <c r="Z10" s="32" t="s">
        <v>177</v>
      </c>
    </row>
    <row r="11" spans="3:26" x14ac:dyDescent="0.25">
      <c r="C11" s="35"/>
      <c r="D11"/>
      <c r="G11" s="16">
        <v>2030</v>
      </c>
      <c r="J11" s="26">
        <v>1</v>
      </c>
      <c r="K11" s="16">
        <f>'21 Offshore turbines'!E19*1000+'21 Offshore turbines'!AF11</f>
        <v>1880.3523554193796</v>
      </c>
      <c r="L11" s="16">
        <f>'21 Offshore turbines'!E27/1000</f>
        <v>39</v>
      </c>
      <c r="M11" s="26">
        <f>'21 Offshore turbines'!E26/(0.0000036*1000000)</f>
        <v>1.0805555555555557</v>
      </c>
      <c r="N11" s="16">
        <v>30</v>
      </c>
      <c r="O11" s="16">
        <v>31.536000000000001</v>
      </c>
      <c r="Q11" s="20"/>
      <c r="R11" s="32" t="s">
        <v>63</v>
      </c>
      <c r="S11" s="32"/>
      <c r="T11" s="32" t="s">
        <v>268</v>
      </c>
      <c r="U11" s="32" t="s">
        <v>270</v>
      </c>
      <c r="V11" s="32" t="s">
        <v>45</v>
      </c>
      <c r="W11" s="32" t="s">
        <v>62</v>
      </c>
      <c r="X11" s="61" t="s">
        <v>164</v>
      </c>
      <c r="Y11" s="32"/>
      <c r="Z11" s="32" t="s">
        <v>177</v>
      </c>
    </row>
    <row r="12" spans="3:26" x14ac:dyDescent="0.25">
      <c r="G12" s="16">
        <v>2040</v>
      </c>
      <c r="J12" s="26">
        <v>1</v>
      </c>
      <c r="K12" s="16">
        <f>'21 Offshore turbines'!F19*1000+'21 Offshore turbines'!AF11</f>
        <v>1760.3523554193796</v>
      </c>
      <c r="L12" s="16">
        <f>'21 Offshore turbines'!F27/1000</f>
        <v>34</v>
      </c>
      <c r="M12" s="26">
        <f>'21 Offshore turbines'!F26/(0.0000036*1000000)</f>
        <v>0.95000000000000007</v>
      </c>
      <c r="N12" s="16">
        <v>30</v>
      </c>
      <c r="O12" s="16">
        <v>31.536000000000001</v>
      </c>
      <c r="Q12" s="21"/>
      <c r="R12" s="32"/>
      <c r="S12" s="32"/>
      <c r="T12" s="32"/>
      <c r="U12" s="32"/>
      <c r="V12" s="32"/>
      <c r="W12" s="32"/>
      <c r="X12" s="32"/>
      <c r="Y12" s="32"/>
      <c r="Z12" s="32"/>
    </row>
    <row r="13" spans="3:26" ht="13.8" thickBot="1" x14ac:dyDescent="0.3">
      <c r="G13" s="16">
        <v>2050</v>
      </c>
      <c r="J13" s="26">
        <v>1</v>
      </c>
      <c r="K13" s="16">
        <f>'21 Offshore turbines'!G19*1000+'21 Offshore turbines'!AF11</f>
        <v>1720.3523554193796</v>
      </c>
      <c r="L13" s="16">
        <f>'21 Offshore turbines'!G27/1000</f>
        <v>33</v>
      </c>
      <c r="M13" s="26">
        <f>'21 Offshore turbines'!G26/(0.0000036*1000000)</f>
        <v>0.9027777777777779</v>
      </c>
      <c r="N13" s="16">
        <v>30</v>
      </c>
      <c r="O13" s="16">
        <v>31.536000000000001</v>
      </c>
      <c r="Q13" s="21"/>
      <c r="R13" s="32"/>
      <c r="S13" s="32"/>
      <c r="X13" s="32"/>
      <c r="Y13" s="32"/>
      <c r="Z13" s="32"/>
    </row>
    <row r="14" spans="3:26" ht="13.8" thickTop="1" x14ac:dyDescent="0.25">
      <c r="C14" s="76" t="s">
        <v>268</v>
      </c>
      <c r="D14" s="75"/>
      <c r="E14" s="75" t="s">
        <v>98</v>
      </c>
      <c r="F14" s="75" t="s">
        <v>41</v>
      </c>
      <c r="G14" s="75">
        <v>2025</v>
      </c>
      <c r="H14" s="78">
        <v>2030</v>
      </c>
      <c r="I14" s="78"/>
      <c r="J14" s="77">
        <v>1</v>
      </c>
      <c r="K14" s="75">
        <f>'21 Near shore turbines'!D19*1000</f>
        <v>1490</v>
      </c>
      <c r="L14" s="75">
        <f t="shared" ref="L14:M17" si="0">L10</f>
        <v>42</v>
      </c>
      <c r="M14" s="77">
        <f t="shared" si="0"/>
        <v>1.1583333333333334</v>
      </c>
      <c r="N14" s="75">
        <v>30</v>
      </c>
      <c r="O14" s="75">
        <v>31.536000000000001</v>
      </c>
      <c r="Q14" s="21"/>
      <c r="R14" s="32"/>
      <c r="S14" s="32"/>
      <c r="T14" s="32"/>
      <c r="U14" s="32"/>
      <c r="V14" s="32"/>
      <c r="W14" s="32"/>
      <c r="X14" s="28"/>
      <c r="Y14" s="32"/>
      <c r="Z14" s="32"/>
    </row>
    <row r="15" spans="3:26" x14ac:dyDescent="0.25">
      <c r="C15" s="32"/>
      <c r="D15"/>
      <c r="G15" s="16">
        <v>2030</v>
      </c>
      <c r="J15" s="26">
        <v>1</v>
      </c>
      <c r="K15" s="16">
        <f>'21 Near shore turbines'!E19*1000</f>
        <v>1380</v>
      </c>
      <c r="L15" s="16">
        <f t="shared" si="0"/>
        <v>39</v>
      </c>
      <c r="M15" s="26">
        <f t="shared" si="0"/>
        <v>1.0805555555555557</v>
      </c>
      <c r="N15" s="16">
        <v>30</v>
      </c>
      <c r="O15" s="16">
        <v>31.536000000000001</v>
      </c>
      <c r="Q15" s="21"/>
      <c r="R15" s="32"/>
      <c r="S15" s="32"/>
      <c r="T15" s="32"/>
      <c r="U15" s="32"/>
      <c r="V15" s="32"/>
      <c r="W15" s="32"/>
      <c r="X15" s="28"/>
      <c r="Y15" s="32"/>
      <c r="Z15" s="32"/>
    </row>
    <row r="16" spans="3:26" x14ac:dyDescent="0.25">
      <c r="G16" s="16">
        <v>2040</v>
      </c>
      <c r="J16" s="26">
        <v>1</v>
      </c>
      <c r="K16" s="16">
        <f>'21 Near shore turbines'!F19*1000</f>
        <v>1240</v>
      </c>
      <c r="L16" s="16">
        <f t="shared" si="0"/>
        <v>34</v>
      </c>
      <c r="M16" s="26">
        <f t="shared" si="0"/>
        <v>0.95000000000000007</v>
      </c>
      <c r="N16" s="16">
        <v>30</v>
      </c>
      <c r="O16" s="16">
        <v>31.536000000000001</v>
      </c>
      <c r="Q16" s="21"/>
      <c r="R16" s="32"/>
      <c r="S16" s="32"/>
      <c r="T16" s="32"/>
      <c r="U16" s="32"/>
      <c r="V16" s="32"/>
      <c r="W16" s="32"/>
      <c r="X16" s="28"/>
      <c r="Y16" s="32"/>
      <c r="Z16" s="32"/>
    </row>
    <row r="17" spans="4:26" x14ac:dyDescent="0.25">
      <c r="D17"/>
      <c r="G17" s="16">
        <v>2050</v>
      </c>
      <c r="J17" s="26">
        <v>1</v>
      </c>
      <c r="K17" s="16">
        <f>'21 Near shore turbines'!G19*1000</f>
        <v>1190</v>
      </c>
      <c r="L17" s="16">
        <f t="shared" si="0"/>
        <v>33</v>
      </c>
      <c r="M17" s="26">
        <f t="shared" si="0"/>
        <v>0.9027777777777779</v>
      </c>
      <c r="N17" s="16">
        <v>30</v>
      </c>
      <c r="O17" s="16">
        <v>31.536000000000001</v>
      </c>
      <c r="Q17" s="21"/>
      <c r="R17" s="32"/>
      <c r="S17" s="32"/>
      <c r="T17" s="32"/>
      <c r="U17" s="32"/>
      <c r="V17" s="32"/>
      <c r="W17" s="32"/>
      <c r="X17" s="28"/>
      <c r="Y17" s="32"/>
      <c r="Z17" s="32"/>
    </row>
    <row r="18" spans="4:26" x14ac:dyDescent="0.25">
      <c r="Q18" s="21"/>
      <c r="R18" s="32"/>
      <c r="S18" s="32"/>
      <c r="T18" s="32"/>
      <c r="U18" s="32"/>
      <c r="V18" s="32"/>
      <c r="W18" s="32"/>
      <c r="X18" s="32"/>
      <c r="Y18" s="32"/>
      <c r="Z18" s="32"/>
    </row>
    <row r="19" spans="4:26" x14ac:dyDescent="0.25">
      <c r="D19"/>
      <c r="J19" s="26"/>
      <c r="M19" s="26"/>
      <c r="Q19" s="21"/>
      <c r="R19" s="32"/>
      <c r="S19" s="32"/>
      <c r="T19" s="32"/>
      <c r="U19" s="32"/>
      <c r="V19" s="32"/>
      <c r="W19" s="32"/>
      <c r="X19" s="32"/>
      <c r="Y19" s="32"/>
      <c r="Z19" s="32"/>
    </row>
    <row r="20" spans="4:26" x14ac:dyDescent="0.25">
      <c r="D20" s="354">
        <v>3180</v>
      </c>
      <c r="E20" s="355" t="s">
        <v>566</v>
      </c>
      <c r="Q20" s="21"/>
      <c r="R20" s="32"/>
      <c r="S20" s="32"/>
      <c r="T20" s="32"/>
      <c r="U20" s="32"/>
      <c r="V20" s="32"/>
      <c r="W20" s="32"/>
      <c r="X20" s="32"/>
      <c r="Y20" s="32"/>
      <c r="Z20" s="32"/>
    </row>
    <row r="21" spans="4:26" x14ac:dyDescent="0.25">
      <c r="D21"/>
      <c r="J21" s="26"/>
      <c r="M21" s="26"/>
      <c r="Q21" s="21"/>
    </row>
    <row r="23" spans="4:26" x14ac:dyDescent="0.25">
      <c r="J23" s="26"/>
      <c r="M23" s="26"/>
      <c r="S23" t="s">
        <v>560</v>
      </c>
    </row>
    <row r="24" spans="4:26" x14ac:dyDescent="0.25">
      <c r="J24" s="26"/>
      <c r="M24" s="26"/>
    </row>
    <row r="25" spans="4:26" ht="13.8" thickBot="1" x14ac:dyDescent="0.3">
      <c r="G25" s="38" t="s">
        <v>373</v>
      </c>
      <c r="J25" s="26"/>
      <c r="L25" s="26"/>
      <c r="M25" s="26"/>
      <c r="O25" s="18"/>
      <c r="P25" s="18"/>
      <c r="S25">
        <f>180000+13000+10000+115000</f>
        <v>318000</v>
      </c>
      <c r="T25" t="s">
        <v>528</v>
      </c>
    </row>
    <row r="26" spans="4:26" ht="31.8" thickTop="1" x14ac:dyDescent="0.25">
      <c r="G26" s="40" t="s">
        <v>374</v>
      </c>
      <c r="L26" s="75"/>
      <c r="S26">
        <v>10</v>
      </c>
      <c r="T26" t="s">
        <v>62</v>
      </c>
    </row>
    <row r="27" spans="4:26" ht="13.8" thickBot="1" x14ac:dyDescent="0.3">
      <c r="G27" s="41" t="s">
        <v>120</v>
      </c>
      <c r="P27" s="16">
        <f>S25/S26</f>
        <v>31800</v>
      </c>
    </row>
    <row r="28" spans="4:26" x14ac:dyDescent="0.25">
      <c r="G28" s="16">
        <v>2.5</v>
      </c>
      <c r="S28">
        <v>4700</v>
      </c>
      <c r="T28" t="s">
        <v>561</v>
      </c>
    </row>
    <row r="30" spans="4:26" x14ac:dyDescent="0.25">
      <c r="G30" s="16">
        <v>2.5</v>
      </c>
      <c r="S30">
        <f>S28*S26</f>
        <v>47000</v>
      </c>
      <c r="T30" t="s">
        <v>562</v>
      </c>
    </row>
    <row r="31" spans="4:26" x14ac:dyDescent="0.25">
      <c r="U31" s="15"/>
      <c r="X31" s="1"/>
    </row>
    <row r="32" spans="4:26" x14ac:dyDescent="0.25">
      <c r="G32" s="16">
        <v>2.5</v>
      </c>
      <c r="P32" s="16">
        <v>1</v>
      </c>
      <c r="Q32" s="284" t="s">
        <v>562</v>
      </c>
      <c r="S32">
        <f>S30*P33</f>
        <v>169.2</v>
      </c>
      <c r="T32" t="s">
        <v>421</v>
      </c>
      <c r="U32" s="15"/>
    </row>
    <row r="33" spans="7:24" x14ac:dyDescent="0.25">
      <c r="P33" s="16">
        <v>3.5999999999999999E-3</v>
      </c>
      <c r="Q33" s="284" t="s">
        <v>421</v>
      </c>
      <c r="U33" s="15"/>
    </row>
    <row r="34" spans="7:24" x14ac:dyDescent="0.25">
      <c r="G34" s="16">
        <v>2</v>
      </c>
      <c r="S34" t="s">
        <v>563</v>
      </c>
      <c r="U34" s="15"/>
    </row>
    <row r="35" spans="7:24" ht="13.8" thickBot="1" x14ac:dyDescent="0.3">
      <c r="S35">
        <f>S25/S32</f>
        <v>1879.4326241134754</v>
      </c>
      <c r="T35" t="s">
        <v>564</v>
      </c>
      <c r="U35" s="15"/>
      <c r="X35" s="1"/>
    </row>
    <row r="36" spans="7:24" ht="13.8" thickTop="1" x14ac:dyDescent="0.25">
      <c r="G36" s="75">
        <v>2.5</v>
      </c>
      <c r="X36" s="1"/>
    </row>
    <row r="38" spans="7:24" x14ac:dyDescent="0.25">
      <c r="G38" s="16">
        <v>2.5</v>
      </c>
    </row>
    <row r="40" spans="7:24" x14ac:dyDescent="0.25">
      <c r="G40" s="16">
        <v>2.5</v>
      </c>
    </row>
    <row r="42" spans="7:24" x14ac:dyDescent="0.25">
      <c r="G42" s="16">
        <v>2</v>
      </c>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A23" zoomScale="40" workbookViewId="0">
      <selection activeCell="AF11" sqref="AF11"/>
    </sheetView>
  </sheetViews>
  <sheetFormatPr defaultRowHeight="13.2" x14ac:dyDescent="0.25"/>
  <cols>
    <col min="1" max="1" width="15.44140625" bestFit="1" customWidth="1"/>
    <col min="2" max="2" width="96.44140625" customWidth="1"/>
  </cols>
  <sheetData>
    <row r="1" spans="1:35" x14ac:dyDescent="0.25">
      <c r="A1" s="65" t="s">
        <v>71</v>
      </c>
      <c r="B1" s="65"/>
      <c r="C1" s="66" t="s">
        <v>205</v>
      </c>
      <c r="D1" s="66"/>
      <c r="E1" s="66"/>
      <c r="F1" s="66"/>
      <c r="G1" s="66"/>
      <c r="H1" s="66"/>
      <c r="I1" s="66"/>
      <c r="J1" s="66"/>
      <c r="K1" s="66"/>
      <c r="L1" s="66"/>
      <c r="M1" s="66"/>
    </row>
    <row r="2" spans="1:35" ht="17.399999999999999" x14ac:dyDescent="0.3">
      <c r="A2" s="67" t="s">
        <v>206</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207</v>
      </c>
      <c r="B3" s="68"/>
      <c r="C3" s="69" t="s">
        <v>208</v>
      </c>
      <c r="D3" s="69" t="s">
        <v>208</v>
      </c>
      <c r="E3" s="69" t="s">
        <v>208</v>
      </c>
      <c r="F3" s="69" t="s">
        <v>208</v>
      </c>
      <c r="G3" s="69" t="s">
        <v>208</v>
      </c>
      <c r="H3" s="69" t="s">
        <v>209</v>
      </c>
      <c r="I3" s="69" t="s">
        <v>210</v>
      </c>
      <c r="J3" s="69" t="s">
        <v>209</v>
      </c>
      <c r="K3" s="69" t="s">
        <v>210</v>
      </c>
      <c r="L3" s="69" t="s">
        <v>85</v>
      </c>
      <c r="M3" s="69" t="s">
        <v>85</v>
      </c>
      <c r="R3" s="278"/>
      <c r="S3" s="278" t="s">
        <v>521</v>
      </c>
      <c r="T3" s="278"/>
      <c r="U3" s="278"/>
      <c r="V3" s="278"/>
      <c r="W3" s="278"/>
      <c r="X3" s="278"/>
      <c r="Y3" s="278"/>
      <c r="Z3" s="278"/>
      <c r="AA3" s="278"/>
      <c r="AB3" s="278"/>
      <c r="AC3" s="278"/>
      <c r="AD3" s="278"/>
      <c r="AE3" s="278"/>
      <c r="AF3" s="278"/>
      <c r="AG3" s="278"/>
      <c r="AH3" s="278"/>
      <c r="AI3" s="278"/>
    </row>
    <row r="4" spans="1:35" ht="17.399999999999999" x14ac:dyDescent="0.3">
      <c r="A4" s="67" t="s">
        <v>211</v>
      </c>
      <c r="B4" s="67" t="s">
        <v>212</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522</v>
      </c>
      <c r="T5" s="278"/>
      <c r="U5" s="278"/>
      <c r="V5" s="278"/>
      <c r="W5" s="278"/>
      <c r="X5" s="278"/>
      <c r="Y5" s="278"/>
      <c r="Z5" s="278"/>
      <c r="AA5" s="278"/>
      <c r="AB5" s="278"/>
      <c r="AC5" s="278"/>
      <c r="AD5" s="278"/>
      <c r="AE5" s="278"/>
      <c r="AF5" s="278"/>
      <c r="AG5" s="278"/>
      <c r="AH5" s="278"/>
      <c r="AI5" s="278"/>
    </row>
    <row r="6" spans="1:35" ht="17.399999999999999" x14ac:dyDescent="0.3">
      <c r="A6" s="70"/>
      <c r="B6" t="s">
        <v>213</v>
      </c>
      <c r="C6" s="71">
        <v>8.4</v>
      </c>
      <c r="D6" s="71">
        <v>15</v>
      </c>
      <c r="E6" s="71">
        <v>20</v>
      </c>
      <c r="F6" s="71">
        <v>25</v>
      </c>
      <c r="G6" s="71">
        <v>30</v>
      </c>
      <c r="H6" s="71">
        <v>12.75</v>
      </c>
      <c r="I6" s="71">
        <v>17.25</v>
      </c>
      <c r="J6" s="71">
        <v>22.5</v>
      </c>
      <c r="K6" s="71">
        <v>37.5</v>
      </c>
      <c r="L6" s="71" t="s">
        <v>78</v>
      </c>
      <c r="M6" s="71" t="s">
        <v>214</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215</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523</v>
      </c>
      <c r="AD7" s="278"/>
      <c r="AE7" s="278"/>
      <c r="AF7" s="278">
        <v>7.46</v>
      </c>
      <c r="AG7" s="278" t="s">
        <v>524</v>
      </c>
      <c r="AH7" s="278"/>
      <c r="AI7" s="278"/>
    </row>
    <row r="8" spans="1:35" ht="17.399999999999999" x14ac:dyDescent="0.3">
      <c r="A8" s="70"/>
      <c r="B8" t="s">
        <v>216</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217</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525</v>
      </c>
      <c r="AD9" s="278"/>
      <c r="AE9" s="278"/>
      <c r="AF9" s="278"/>
      <c r="AG9" s="278"/>
      <c r="AH9" s="278"/>
      <c r="AI9" s="278"/>
    </row>
    <row r="10" spans="1:35" ht="17.399999999999999" x14ac:dyDescent="0.3">
      <c r="A10" s="70"/>
      <c r="B10" t="s">
        <v>218</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219</v>
      </c>
      <c r="C11" s="71">
        <v>165.36</v>
      </c>
      <c r="D11" s="71">
        <v>177.36</v>
      </c>
      <c r="E11" s="71">
        <v>171.96</v>
      </c>
      <c r="F11" s="71">
        <v>169.84</v>
      </c>
      <c r="G11" s="71">
        <v>171.26</v>
      </c>
      <c r="H11" s="71">
        <v>150.76</v>
      </c>
      <c r="I11" s="71">
        <v>203.96</v>
      </c>
      <c r="J11" s="71">
        <v>128.44</v>
      </c>
      <c r="K11" s="71">
        <v>214.07</v>
      </c>
      <c r="L11" s="71" t="s">
        <v>58</v>
      </c>
      <c r="M11" s="71" t="s">
        <v>220</v>
      </c>
      <c r="R11" s="278"/>
      <c r="S11" s="278"/>
      <c r="T11" s="278"/>
      <c r="U11" s="278"/>
      <c r="V11" s="278"/>
      <c r="W11" s="278"/>
      <c r="X11" s="278"/>
      <c r="Y11" s="278"/>
      <c r="Z11" s="278"/>
      <c r="AA11" s="278"/>
      <c r="AB11" s="278"/>
      <c r="AC11" s="278"/>
      <c r="AD11" s="278" t="s">
        <v>526</v>
      </c>
      <c r="AE11" s="278"/>
      <c r="AF11" s="278">
        <f>AB9*4/7</f>
        <v>80.352355419379549</v>
      </c>
      <c r="AG11" s="278" t="s">
        <v>527</v>
      </c>
      <c r="AH11" s="278"/>
      <c r="AI11" s="278"/>
    </row>
    <row r="12" spans="1:35" ht="17.399999999999999" x14ac:dyDescent="0.3">
      <c r="A12" s="70" t="s">
        <v>221</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222</v>
      </c>
      <c r="C13" s="73"/>
      <c r="D13" s="73"/>
      <c r="E13" s="73"/>
      <c r="F13" s="73"/>
      <c r="G13" s="73"/>
      <c r="H13" s="73"/>
      <c r="I13" s="73"/>
      <c r="J13" s="73"/>
      <c r="K13" s="73"/>
      <c r="L13" s="71"/>
      <c r="M13" s="71"/>
    </row>
    <row r="14" spans="1:35" x14ac:dyDescent="0.25">
      <c r="A14" s="72"/>
      <c r="B14" s="72" t="s">
        <v>223</v>
      </c>
      <c r="C14" s="73"/>
      <c r="D14" s="73"/>
      <c r="E14" s="73"/>
      <c r="F14" s="73"/>
      <c r="G14" s="73"/>
      <c r="H14" s="73"/>
      <c r="I14" s="73"/>
      <c r="J14" s="73"/>
      <c r="K14" s="73"/>
      <c r="L14" s="71"/>
      <c r="M14" s="71"/>
    </row>
    <row r="15" spans="1:35" x14ac:dyDescent="0.25">
      <c r="A15" s="72"/>
      <c r="B15" s="72" t="s">
        <v>224</v>
      </c>
      <c r="C15" s="73"/>
      <c r="D15" s="73"/>
      <c r="E15" s="73"/>
      <c r="F15" s="73"/>
      <c r="G15" s="73"/>
      <c r="H15" s="73"/>
      <c r="I15" s="73"/>
      <c r="J15" s="73"/>
      <c r="K15" s="73"/>
      <c r="L15" s="71"/>
      <c r="M15" s="71"/>
    </row>
    <row r="16" spans="1:35" x14ac:dyDescent="0.25">
      <c r="A16" s="70"/>
      <c r="B16" t="s">
        <v>225</v>
      </c>
      <c r="C16" s="71"/>
      <c r="D16" s="71"/>
      <c r="E16" s="71"/>
      <c r="F16" s="71"/>
      <c r="G16" s="71"/>
      <c r="H16" s="71"/>
      <c r="I16" s="71"/>
      <c r="J16" s="71"/>
      <c r="K16" s="71"/>
      <c r="L16" s="71"/>
      <c r="M16" s="71"/>
    </row>
    <row r="17" spans="1:13" x14ac:dyDescent="0.25">
      <c r="A17" s="70"/>
      <c r="B17" t="s">
        <v>226</v>
      </c>
      <c r="C17" s="71"/>
      <c r="D17" s="71"/>
      <c r="E17" s="71"/>
      <c r="F17" s="71"/>
      <c r="G17" s="71"/>
      <c r="H17" s="71"/>
      <c r="I17" s="71"/>
      <c r="J17" s="71"/>
      <c r="K17" s="71"/>
      <c r="L17" s="71"/>
      <c r="M17" s="71"/>
    </row>
    <row r="18" spans="1:13" x14ac:dyDescent="0.25">
      <c r="A18" s="70" t="s">
        <v>227</v>
      </c>
      <c r="C18" s="71"/>
      <c r="D18" s="71"/>
      <c r="E18" s="71"/>
      <c r="F18" s="71"/>
      <c r="G18" s="71"/>
      <c r="H18" s="71"/>
      <c r="I18" s="71"/>
      <c r="J18" s="71"/>
      <c r="K18" s="71"/>
      <c r="L18" s="71"/>
      <c r="M18" s="71"/>
    </row>
    <row r="19" spans="1:13" x14ac:dyDescent="0.25">
      <c r="A19" s="70"/>
      <c r="B19" s="74" t="s">
        <v>228</v>
      </c>
      <c r="C19" s="71">
        <v>2.12</v>
      </c>
      <c r="D19" s="71">
        <v>1.88</v>
      </c>
      <c r="E19" s="71">
        <v>1.8</v>
      </c>
      <c r="F19" s="71">
        <v>1.68</v>
      </c>
      <c r="G19" s="71">
        <v>1.64</v>
      </c>
      <c r="H19" s="71">
        <v>1.88</v>
      </c>
      <c r="I19" s="71">
        <v>1.88</v>
      </c>
      <c r="J19" s="71">
        <v>1.64</v>
      </c>
      <c r="K19" s="71">
        <v>1.64</v>
      </c>
      <c r="L19" s="71" t="s">
        <v>84</v>
      </c>
      <c r="M19" s="71" t="s">
        <v>220</v>
      </c>
    </row>
    <row r="20" spans="1:13" x14ac:dyDescent="0.25">
      <c r="A20" s="70"/>
      <c r="B20" s="74" t="s">
        <v>229</v>
      </c>
      <c r="C20" s="71">
        <v>0.54</v>
      </c>
      <c r="D20" s="71">
        <v>0.4</v>
      </c>
      <c r="E20" s="71">
        <v>0.37</v>
      </c>
      <c r="F20" s="71">
        <v>0.33</v>
      </c>
      <c r="G20" s="71">
        <v>0.32</v>
      </c>
      <c r="H20" s="71">
        <v>0.4</v>
      </c>
      <c r="I20" s="71">
        <v>0.4</v>
      </c>
      <c r="J20" s="71">
        <v>0.32</v>
      </c>
      <c r="K20" s="71">
        <v>0.32</v>
      </c>
      <c r="L20" s="71"/>
      <c r="M20" s="71" t="s">
        <v>220</v>
      </c>
    </row>
    <row r="21" spans="1:13" x14ac:dyDescent="0.25">
      <c r="A21" s="70"/>
      <c r="C21" s="71">
        <v>0.38</v>
      </c>
      <c r="D21" s="71">
        <v>0.31</v>
      </c>
      <c r="E21" s="71">
        <v>0.28000000000000003</v>
      </c>
      <c r="F21" s="71">
        <v>0.25</v>
      </c>
      <c r="G21" s="71">
        <v>0.23</v>
      </c>
      <c r="H21" s="71">
        <v>0.26</v>
      </c>
      <c r="I21" s="71">
        <v>0.36</v>
      </c>
      <c r="J21" s="71">
        <v>0.17</v>
      </c>
      <c r="K21" s="71">
        <v>0.34</v>
      </c>
      <c r="L21" s="71"/>
      <c r="M21" s="71" t="s">
        <v>231</v>
      </c>
    </row>
    <row r="22" spans="1:13" x14ac:dyDescent="0.25">
      <c r="A22" s="70"/>
      <c r="B22" t="s">
        <v>232</v>
      </c>
      <c r="C22" s="71">
        <v>0.03</v>
      </c>
      <c r="D22" s="71">
        <v>0.02</v>
      </c>
      <c r="E22" s="71">
        <v>0.02</v>
      </c>
      <c r="F22" s="71">
        <v>0.01</v>
      </c>
      <c r="G22" s="71">
        <v>0.01</v>
      </c>
      <c r="H22" s="71">
        <v>0.02</v>
      </c>
      <c r="I22" s="71">
        <v>0.02</v>
      </c>
      <c r="J22" s="71">
        <v>0.01</v>
      </c>
      <c r="K22" s="71">
        <v>0.02</v>
      </c>
      <c r="L22" s="71"/>
      <c r="M22" s="71" t="s">
        <v>220</v>
      </c>
    </row>
    <row r="23" spans="1:13" x14ac:dyDescent="0.25">
      <c r="A23" s="70"/>
      <c r="B23" t="s">
        <v>233</v>
      </c>
      <c r="C23" s="71">
        <v>0.21</v>
      </c>
      <c r="D23" s="71">
        <v>0.21</v>
      </c>
      <c r="E23" s="71">
        <v>0.22</v>
      </c>
      <c r="F23" s="71">
        <v>0.22</v>
      </c>
      <c r="G23" s="71">
        <v>0.21</v>
      </c>
      <c r="H23" s="71">
        <v>0.18</v>
      </c>
      <c r="I23" s="71">
        <v>0.25</v>
      </c>
      <c r="J23" s="71">
        <v>0.16</v>
      </c>
      <c r="K23" s="71">
        <v>0.32</v>
      </c>
      <c r="L23" s="71"/>
      <c r="M23" s="71" t="s">
        <v>234</v>
      </c>
    </row>
    <row r="24" spans="1:13" x14ac:dyDescent="0.25">
      <c r="A24" s="70"/>
      <c r="B24" t="s">
        <v>235</v>
      </c>
      <c r="C24" s="71">
        <v>0.25</v>
      </c>
      <c r="D24" s="71">
        <v>0.24</v>
      </c>
      <c r="E24" s="71">
        <v>0.24</v>
      </c>
      <c r="F24" s="71">
        <v>0.25</v>
      </c>
      <c r="G24" s="71">
        <v>0.26</v>
      </c>
      <c r="H24" s="71">
        <v>0.2</v>
      </c>
      <c r="I24" s="71">
        <v>0.28000000000000003</v>
      </c>
      <c r="J24" s="71">
        <v>0.2</v>
      </c>
      <c r="K24" s="71">
        <v>0.4</v>
      </c>
      <c r="L24" s="71"/>
      <c r="M24" s="71" t="s">
        <v>236</v>
      </c>
    </row>
    <row r="25" spans="1:13" x14ac:dyDescent="0.25">
      <c r="A25" s="70"/>
      <c r="B25" t="s">
        <v>237</v>
      </c>
      <c r="C25" s="71">
        <v>0.72</v>
      </c>
      <c r="D25" s="71">
        <v>0.69</v>
      </c>
      <c r="E25" s="71">
        <v>0.67</v>
      </c>
      <c r="F25" s="71">
        <v>0.61</v>
      </c>
      <c r="G25" s="71">
        <v>0.61</v>
      </c>
      <c r="H25" s="71">
        <v>0.59</v>
      </c>
      <c r="I25" s="71">
        <v>0.8</v>
      </c>
      <c r="J25" s="71">
        <v>0.46</v>
      </c>
      <c r="K25" s="71">
        <v>0.91</v>
      </c>
      <c r="L25" s="71"/>
      <c r="M25" s="71" t="s">
        <v>220</v>
      </c>
    </row>
    <row r="26" spans="1:13" x14ac:dyDescent="0.25">
      <c r="A26" s="70"/>
      <c r="B26" t="s">
        <v>238</v>
      </c>
      <c r="C26" s="71">
        <v>5</v>
      </c>
      <c r="D26" s="71">
        <v>4.17</v>
      </c>
      <c r="E26" s="71">
        <v>3.89</v>
      </c>
      <c r="F26" s="71">
        <v>3.42</v>
      </c>
      <c r="G26" s="71">
        <v>3.25</v>
      </c>
      <c r="H26" s="71">
        <v>3.55</v>
      </c>
      <c r="I26" s="71">
        <v>4.8</v>
      </c>
      <c r="J26" s="71">
        <v>2.44</v>
      </c>
      <c r="K26" s="71">
        <v>4.88</v>
      </c>
      <c r="L26" s="71" t="s">
        <v>88</v>
      </c>
      <c r="M26" s="71" t="s">
        <v>220</v>
      </c>
    </row>
    <row r="27" spans="1:13" x14ac:dyDescent="0.25">
      <c r="A27" s="70"/>
      <c r="B27" t="s">
        <v>239</v>
      </c>
      <c r="C27" s="71">
        <v>50000</v>
      </c>
      <c r="D27" s="71">
        <v>42000</v>
      </c>
      <c r="E27" s="71">
        <v>39000</v>
      </c>
      <c r="F27" s="71">
        <v>34000</v>
      </c>
      <c r="G27" s="71">
        <v>33000</v>
      </c>
      <c r="H27" s="71">
        <v>35700</v>
      </c>
      <c r="I27" s="71">
        <v>48300</v>
      </c>
      <c r="J27" s="71">
        <v>24750</v>
      </c>
      <c r="K27" s="71">
        <v>49500</v>
      </c>
      <c r="L27" s="71" t="s">
        <v>88</v>
      </c>
      <c r="M27" s="71" t="s">
        <v>220</v>
      </c>
    </row>
    <row r="28" spans="1:13" x14ac:dyDescent="0.25">
      <c r="A28" s="70" t="s">
        <v>240</v>
      </c>
      <c r="C28" s="71"/>
      <c r="D28" s="71"/>
      <c r="E28" s="71"/>
      <c r="F28" s="71"/>
      <c r="G28" s="71"/>
      <c r="H28" s="71"/>
      <c r="I28" s="71"/>
      <c r="J28" s="71"/>
      <c r="K28" s="71"/>
      <c r="L28" s="71"/>
      <c r="M28" s="71"/>
    </row>
    <row r="29" spans="1:13" x14ac:dyDescent="0.25">
      <c r="A29" s="70"/>
      <c r="B29" t="s">
        <v>241</v>
      </c>
      <c r="C29" s="71">
        <v>103.5</v>
      </c>
      <c r="D29" s="71">
        <v>138</v>
      </c>
      <c r="E29" s="71">
        <v>155</v>
      </c>
      <c r="F29" s="71">
        <v>170</v>
      </c>
      <c r="G29" s="71">
        <v>185</v>
      </c>
      <c r="H29" s="71">
        <v>124.2</v>
      </c>
      <c r="I29" s="71">
        <v>151.80000000000001</v>
      </c>
      <c r="J29" s="71">
        <v>157.25</v>
      </c>
      <c r="K29" s="71">
        <v>212.75</v>
      </c>
      <c r="L29" s="71"/>
      <c r="M29" s="71" t="s">
        <v>242</v>
      </c>
    </row>
    <row r="30" spans="1:13" x14ac:dyDescent="0.25">
      <c r="A30" s="70"/>
      <c r="B30" t="s">
        <v>243</v>
      </c>
      <c r="C30" s="71">
        <v>167</v>
      </c>
      <c r="D30" s="71">
        <v>236</v>
      </c>
      <c r="E30" s="71">
        <v>270</v>
      </c>
      <c r="F30" s="71">
        <v>300</v>
      </c>
      <c r="G30" s="71">
        <v>330</v>
      </c>
      <c r="H30" s="71">
        <v>212.4</v>
      </c>
      <c r="I30" s="71">
        <v>259.60000000000002</v>
      </c>
      <c r="J30" s="71">
        <v>280.5</v>
      </c>
      <c r="K30" s="71">
        <v>379.5</v>
      </c>
      <c r="L30" s="71"/>
      <c r="M30" s="71" t="s">
        <v>242</v>
      </c>
    </row>
    <row r="31" spans="1:13" x14ac:dyDescent="0.25">
      <c r="A31" s="70"/>
      <c r="B31" t="s">
        <v>244</v>
      </c>
      <c r="C31" s="71">
        <v>383.49</v>
      </c>
      <c r="D31" s="71">
        <v>342.91</v>
      </c>
      <c r="E31" s="71">
        <v>349.31</v>
      </c>
      <c r="F31" s="71">
        <v>353.68</v>
      </c>
      <c r="G31" s="71">
        <v>350.75</v>
      </c>
      <c r="H31" s="71">
        <v>359.84</v>
      </c>
      <c r="I31" s="71">
        <v>325.89999999999998</v>
      </c>
      <c r="J31" s="71">
        <v>364.11</v>
      </c>
      <c r="K31" s="71">
        <v>331.53</v>
      </c>
      <c r="L31" s="71" t="s">
        <v>92</v>
      </c>
      <c r="M31" s="71" t="s">
        <v>242</v>
      </c>
    </row>
    <row r="32" spans="1:13" x14ac:dyDescent="0.25">
      <c r="A32" s="70"/>
      <c r="B32" t="s">
        <v>245</v>
      </c>
      <c r="C32" s="71">
        <v>6.05</v>
      </c>
      <c r="D32" s="71">
        <v>5.64</v>
      </c>
      <c r="E32" s="71">
        <v>5.82</v>
      </c>
      <c r="F32" s="71">
        <v>5.89</v>
      </c>
      <c r="G32" s="71">
        <v>5.84</v>
      </c>
      <c r="H32" s="71">
        <v>6.63</v>
      </c>
      <c r="I32" s="71">
        <v>4.9000000000000004</v>
      </c>
      <c r="J32" s="71">
        <v>7.79</v>
      </c>
      <c r="K32" s="71">
        <v>4.67</v>
      </c>
      <c r="L32" s="71" t="s">
        <v>58</v>
      </c>
      <c r="M32" s="71" t="s">
        <v>220</v>
      </c>
    </row>
    <row r="33" spans="1:13" x14ac:dyDescent="0.25">
      <c r="A33" s="70"/>
      <c r="B33" t="s">
        <v>246</v>
      </c>
      <c r="C33" s="71">
        <v>4400</v>
      </c>
      <c r="D33" s="71">
        <v>4775</v>
      </c>
      <c r="E33" s="71">
        <v>4800</v>
      </c>
      <c r="F33" s="71">
        <v>4850</v>
      </c>
      <c r="G33" s="71">
        <v>4900</v>
      </c>
      <c r="H33" s="71">
        <v>4300</v>
      </c>
      <c r="I33" s="71">
        <v>5250</v>
      </c>
      <c r="J33" s="71">
        <v>4050</v>
      </c>
      <c r="K33" s="71">
        <v>5500</v>
      </c>
      <c r="L33" s="71" t="s">
        <v>93</v>
      </c>
      <c r="M33" s="71" t="s">
        <v>220</v>
      </c>
    </row>
    <row r="34" spans="1:13" x14ac:dyDescent="0.25">
      <c r="A34" s="70"/>
    </row>
    <row r="35" spans="1:13" x14ac:dyDescent="0.25">
      <c r="A35" s="70"/>
      <c r="F35" s="277"/>
    </row>
    <row r="36" spans="1:13" x14ac:dyDescent="0.25">
      <c r="A36" s="70" t="s">
        <v>89</v>
      </c>
    </row>
    <row r="37" spans="1:13" x14ac:dyDescent="0.25">
      <c r="A37" s="70"/>
      <c r="B37" t="s">
        <v>247</v>
      </c>
    </row>
    <row r="38" spans="1:13" x14ac:dyDescent="0.25">
      <c r="A38" s="70"/>
      <c r="B38" t="s">
        <v>248</v>
      </c>
    </row>
    <row r="39" spans="1:13" x14ac:dyDescent="0.25">
      <c r="A39" s="70"/>
      <c r="B39" t="s">
        <v>249</v>
      </c>
    </row>
    <row r="40" spans="1:13" x14ac:dyDescent="0.25">
      <c r="A40" s="70"/>
      <c r="B40" t="s">
        <v>250</v>
      </c>
    </row>
    <row r="41" spans="1:13" x14ac:dyDescent="0.25">
      <c r="A41" s="70"/>
      <c r="B41" t="s">
        <v>251</v>
      </c>
    </row>
    <row r="42" spans="1:13" x14ac:dyDescent="0.25">
      <c r="A42" s="70"/>
      <c r="B42" t="s">
        <v>252</v>
      </c>
    </row>
    <row r="43" spans="1:13" x14ac:dyDescent="0.25">
      <c r="A43" s="70"/>
      <c r="B43" t="s">
        <v>253</v>
      </c>
    </row>
    <row r="44" spans="1:13" x14ac:dyDescent="0.25">
      <c r="A44" s="70"/>
      <c r="B44" t="s">
        <v>254</v>
      </c>
    </row>
    <row r="45" spans="1:13" x14ac:dyDescent="0.25">
      <c r="A45" s="70"/>
      <c r="B45" t="s">
        <v>255</v>
      </c>
    </row>
    <row r="46" spans="1:13" x14ac:dyDescent="0.25">
      <c r="A46" s="70"/>
      <c r="B46" t="s">
        <v>256</v>
      </c>
    </row>
    <row r="47" spans="1:13" x14ac:dyDescent="0.25">
      <c r="A47" s="70"/>
      <c r="B47" t="s">
        <v>257</v>
      </c>
    </row>
    <row r="48" spans="1:13"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266</v>
      </c>
      <c r="D1" s="66"/>
      <c r="E1" s="66"/>
      <c r="F1" s="66"/>
      <c r="G1" s="66"/>
      <c r="H1" s="66"/>
      <c r="I1" s="66"/>
      <c r="J1" s="66"/>
      <c r="K1" s="66"/>
      <c r="L1" s="66"/>
    </row>
    <row r="2" spans="1:12" x14ac:dyDescent="0.25">
      <c r="A2" s="67" t="s">
        <v>206</v>
      </c>
      <c r="B2" s="67"/>
      <c r="C2" s="66">
        <v>2020</v>
      </c>
      <c r="D2" s="66">
        <v>2025</v>
      </c>
      <c r="E2" s="66">
        <v>2030</v>
      </c>
      <c r="F2" s="66">
        <v>2040</v>
      </c>
      <c r="G2" s="66">
        <v>2050</v>
      </c>
      <c r="H2" s="66">
        <v>2025</v>
      </c>
      <c r="I2" s="66">
        <v>2025</v>
      </c>
      <c r="J2" s="66">
        <v>2050</v>
      </c>
      <c r="K2" s="66">
        <v>2050</v>
      </c>
      <c r="L2" s="66" t="s">
        <v>72</v>
      </c>
    </row>
    <row r="3" spans="1:12" ht="13.8" thickBot="1" x14ac:dyDescent="0.3">
      <c r="A3" s="68" t="s">
        <v>207</v>
      </c>
      <c r="B3" s="68"/>
      <c r="C3" s="69" t="s">
        <v>208</v>
      </c>
      <c r="D3" s="69" t="s">
        <v>208</v>
      </c>
      <c r="E3" s="69" t="s">
        <v>208</v>
      </c>
      <c r="F3" s="69" t="s">
        <v>208</v>
      </c>
      <c r="G3" s="69" t="s">
        <v>208</v>
      </c>
      <c r="H3" s="69" t="s">
        <v>209</v>
      </c>
      <c r="I3" s="69" t="s">
        <v>210</v>
      </c>
      <c r="J3" s="69" t="s">
        <v>209</v>
      </c>
      <c r="K3" s="69" t="s">
        <v>210</v>
      </c>
      <c r="L3" s="69" t="s">
        <v>85</v>
      </c>
    </row>
    <row r="4" spans="1:12" x14ac:dyDescent="0.25">
      <c r="A4" s="67" t="s">
        <v>211</v>
      </c>
      <c r="B4" s="67" t="s">
        <v>212</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213</v>
      </c>
      <c r="C6" s="71">
        <v>8.4</v>
      </c>
      <c r="D6" s="71">
        <v>10</v>
      </c>
      <c r="E6" s="71">
        <v>15</v>
      </c>
      <c r="F6" s="71">
        <v>15</v>
      </c>
      <c r="G6" s="71">
        <v>15</v>
      </c>
      <c r="H6" s="71">
        <v>8.5</v>
      </c>
      <c r="I6" s="71">
        <v>11.5</v>
      </c>
      <c r="J6" s="71">
        <v>11.25</v>
      </c>
      <c r="K6" s="71">
        <v>18.75</v>
      </c>
      <c r="L6" s="71" t="s">
        <v>78</v>
      </c>
    </row>
    <row r="7" spans="1:12" x14ac:dyDescent="0.25">
      <c r="A7" s="72"/>
      <c r="B7" s="72" t="s">
        <v>215</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216</v>
      </c>
      <c r="C8" s="71">
        <v>0.5</v>
      </c>
      <c r="D8" s="71">
        <v>0.5</v>
      </c>
      <c r="E8" s="71">
        <v>0.5</v>
      </c>
      <c r="F8" s="71">
        <v>0.5</v>
      </c>
      <c r="G8" s="71">
        <v>0.5</v>
      </c>
      <c r="H8" s="71">
        <v>0.5</v>
      </c>
      <c r="I8" s="71">
        <v>0.5</v>
      </c>
      <c r="J8" s="71">
        <v>0.5</v>
      </c>
      <c r="K8" s="71">
        <v>0.5</v>
      </c>
      <c r="L8" s="71" t="s">
        <v>77</v>
      </c>
    </row>
    <row r="9" spans="1:12" x14ac:dyDescent="0.25">
      <c r="A9" s="70"/>
      <c r="B9" t="s">
        <v>217</v>
      </c>
      <c r="C9" s="71">
        <v>27</v>
      </c>
      <c r="D9" s="71">
        <v>30</v>
      </c>
      <c r="E9" s="71">
        <v>30</v>
      </c>
      <c r="F9" s="71">
        <v>30</v>
      </c>
      <c r="G9" s="71">
        <v>30</v>
      </c>
      <c r="H9" s="71">
        <v>25</v>
      </c>
      <c r="I9" s="71">
        <v>35</v>
      </c>
      <c r="J9" s="71">
        <v>25</v>
      </c>
      <c r="K9" s="71">
        <v>35</v>
      </c>
      <c r="L9" s="71" t="s">
        <v>67</v>
      </c>
    </row>
    <row r="10" spans="1:12" x14ac:dyDescent="0.25">
      <c r="A10" s="70"/>
      <c r="B10" t="s">
        <v>218</v>
      </c>
      <c r="C10" s="71">
        <v>2.5</v>
      </c>
      <c r="D10" s="71">
        <v>2.5</v>
      </c>
      <c r="E10" s="71">
        <v>2.5</v>
      </c>
      <c r="F10" s="71">
        <v>2.5</v>
      </c>
      <c r="G10" s="71">
        <v>2</v>
      </c>
      <c r="H10" s="71">
        <v>2</v>
      </c>
      <c r="I10" s="71">
        <v>3</v>
      </c>
      <c r="J10" s="71">
        <v>1.5</v>
      </c>
      <c r="K10" s="71">
        <v>2.5</v>
      </c>
      <c r="L10" s="71" t="s">
        <v>90</v>
      </c>
    </row>
    <row r="11" spans="1:12" x14ac:dyDescent="0.25">
      <c r="A11" s="70"/>
      <c r="B11" t="s">
        <v>219</v>
      </c>
      <c r="C11" s="71">
        <v>32.020000000000003</v>
      </c>
      <c r="D11" s="71">
        <v>35.18</v>
      </c>
      <c r="E11" s="71">
        <v>35.81</v>
      </c>
      <c r="F11" s="71">
        <v>35.81</v>
      </c>
      <c r="G11" s="71">
        <v>35.81</v>
      </c>
      <c r="H11" s="71">
        <v>29.91</v>
      </c>
      <c r="I11" s="71">
        <v>40.46</v>
      </c>
      <c r="J11" s="71">
        <v>26.86</v>
      </c>
      <c r="K11" s="71">
        <v>44.76</v>
      </c>
      <c r="L11" s="71" t="s">
        <v>58</v>
      </c>
    </row>
    <row r="12" spans="1:12" x14ac:dyDescent="0.25">
      <c r="A12" s="70" t="s">
        <v>221</v>
      </c>
      <c r="C12" s="71"/>
      <c r="D12" s="71"/>
      <c r="E12" s="71"/>
      <c r="F12" s="71"/>
      <c r="G12" s="71"/>
      <c r="H12" s="71"/>
      <c r="I12" s="71"/>
      <c r="J12" s="71"/>
      <c r="K12" s="71"/>
      <c r="L12" s="71"/>
    </row>
    <row r="13" spans="1:12" x14ac:dyDescent="0.25">
      <c r="A13" s="72"/>
      <c r="B13" s="72" t="s">
        <v>222</v>
      </c>
      <c r="C13" s="73"/>
      <c r="D13" s="73"/>
      <c r="E13" s="73"/>
      <c r="F13" s="73"/>
      <c r="G13" s="73"/>
      <c r="H13" s="73"/>
      <c r="I13" s="73"/>
      <c r="J13" s="73"/>
      <c r="K13" s="73"/>
      <c r="L13" s="71"/>
    </row>
    <row r="14" spans="1:12" x14ac:dyDescent="0.25">
      <c r="A14" s="72"/>
      <c r="B14" s="72" t="s">
        <v>223</v>
      </c>
      <c r="C14" s="73"/>
      <c r="D14" s="73"/>
      <c r="E14" s="73"/>
      <c r="F14" s="73"/>
      <c r="G14" s="73"/>
      <c r="H14" s="73"/>
      <c r="I14" s="73"/>
      <c r="J14" s="73"/>
      <c r="K14" s="73"/>
      <c r="L14" s="71"/>
    </row>
    <row r="15" spans="1:12" x14ac:dyDescent="0.25">
      <c r="A15" s="72"/>
      <c r="B15" s="72" t="s">
        <v>224</v>
      </c>
      <c r="C15" s="73"/>
      <c r="D15" s="73"/>
      <c r="E15" s="73"/>
      <c r="F15" s="73"/>
      <c r="G15" s="73"/>
      <c r="H15" s="73"/>
      <c r="I15" s="73"/>
      <c r="J15" s="73"/>
      <c r="K15" s="73"/>
      <c r="L15" s="71"/>
    </row>
    <row r="16" spans="1:12" x14ac:dyDescent="0.25">
      <c r="A16" s="70"/>
      <c r="B16" t="s">
        <v>225</v>
      </c>
      <c r="C16" s="71"/>
      <c r="D16" s="71"/>
      <c r="E16" s="71"/>
      <c r="F16" s="71"/>
      <c r="G16" s="71"/>
      <c r="H16" s="71"/>
      <c r="I16" s="71"/>
      <c r="J16" s="71"/>
      <c r="K16" s="71"/>
      <c r="L16" s="71"/>
    </row>
    <row r="17" spans="1:12" x14ac:dyDescent="0.25">
      <c r="A17" s="70"/>
      <c r="B17" t="s">
        <v>226</v>
      </c>
      <c r="C17" s="71"/>
      <c r="D17" s="71"/>
      <c r="E17" s="71"/>
      <c r="F17" s="71"/>
      <c r="G17" s="71"/>
      <c r="H17" s="71"/>
      <c r="I17" s="71"/>
      <c r="J17" s="71"/>
      <c r="K17" s="71"/>
      <c r="L17" s="71"/>
    </row>
    <row r="18" spans="1:12" x14ac:dyDescent="0.25">
      <c r="A18" s="70" t="s">
        <v>227</v>
      </c>
      <c r="C18" s="71"/>
      <c r="D18" s="71"/>
      <c r="E18" s="71"/>
      <c r="F18" s="71"/>
      <c r="G18" s="71"/>
      <c r="H18" s="71"/>
      <c r="I18" s="71"/>
      <c r="J18" s="71"/>
      <c r="K18" s="71"/>
      <c r="L18" s="71"/>
    </row>
    <row r="19" spans="1:12" x14ac:dyDescent="0.25">
      <c r="A19" s="70"/>
      <c r="B19" t="s">
        <v>228</v>
      </c>
      <c r="C19" s="71">
        <v>1.7</v>
      </c>
      <c r="D19" s="71">
        <v>1.49</v>
      </c>
      <c r="E19" s="71">
        <v>1.38</v>
      </c>
      <c r="F19" s="71">
        <v>1.24</v>
      </c>
      <c r="G19" s="71">
        <v>1.19</v>
      </c>
      <c r="H19" s="71">
        <v>1.49</v>
      </c>
      <c r="I19" s="71">
        <v>1.49</v>
      </c>
      <c r="J19" s="71">
        <v>1.19</v>
      </c>
      <c r="K19" s="71">
        <v>1.19</v>
      </c>
      <c r="L19" s="71" t="s">
        <v>84</v>
      </c>
    </row>
    <row r="20" spans="1:12" x14ac:dyDescent="0.25">
      <c r="A20" s="70"/>
      <c r="B20" t="s">
        <v>229</v>
      </c>
      <c r="C20" s="71">
        <v>0.39</v>
      </c>
      <c r="D20" s="71">
        <v>0.31</v>
      </c>
      <c r="E20" s="71">
        <v>0.25</v>
      </c>
      <c r="F20" s="71">
        <v>0.23</v>
      </c>
      <c r="G20" s="71">
        <v>0.22</v>
      </c>
      <c r="H20" s="71">
        <v>0.31</v>
      </c>
      <c r="I20" s="71">
        <v>0.31</v>
      </c>
      <c r="J20" s="71">
        <v>0.22</v>
      </c>
      <c r="K20" s="71">
        <v>0.22</v>
      </c>
      <c r="L20" s="71"/>
    </row>
    <row r="21" spans="1:12" x14ac:dyDescent="0.25">
      <c r="A21" s="70"/>
      <c r="B21" t="s">
        <v>230</v>
      </c>
      <c r="C21" s="71">
        <v>0.39</v>
      </c>
      <c r="D21" s="71">
        <v>0.33</v>
      </c>
      <c r="E21" s="71">
        <v>0.28999999999999998</v>
      </c>
      <c r="F21" s="71">
        <v>0.26</v>
      </c>
      <c r="G21" s="71">
        <v>0.25</v>
      </c>
      <c r="H21" s="71">
        <v>0.28000000000000003</v>
      </c>
      <c r="I21" s="71">
        <v>1.31</v>
      </c>
      <c r="J21" s="71">
        <v>0.18</v>
      </c>
      <c r="K21" s="71">
        <v>0.98</v>
      </c>
      <c r="L21" s="71"/>
    </row>
    <row r="22" spans="1:12" x14ac:dyDescent="0.25">
      <c r="A22" s="70"/>
      <c r="B22" t="s">
        <v>232</v>
      </c>
      <c r="C22" s="71">
        <v>0.01</v>
      </c>
      <c r="D22" s="71">
        <v>0.01</v>
      </c>
      <c r="E22" s="71">
        <v>0.01</v>
      </c>
      <c r="F22" s="71">
        <v>0.01</v>
      </c>
      <c r="G22" s="71">
        <v>0.01</v>
      </c>
      <c r="H22" s="71">
        <v>0.01</v>
      </c>
      <c r="I22" s="71">
        <v>0.05</v>
      </c>
      <c r="J22" s="71">
        <v>0.01</v>
      </c>
      <c r="K22" s="71">
        <v>0.04</v>
      </c>
      <c r="L22" s="71"/>
    </row>
    <row r="23" spans="1:12" x14ac:dyDescent="0.25">
      <c r="A23" s="70"/>
      <c r="B23" t="s">
        <v>233</v>
      </c>
      <c r="C23" s="71">
        <v>0.13</v>
      </c>
      <c r="D23" s="71">
        <v>0.13</v>
      </c>
      <c r="E23" s="71">
        <v>0.12</v>
      </c>
      <c r="F23" s="71">
        <v>0.11</v>
      </c>
      <c r="G23" s="71">
        <v>0.11</v>
      </c>
      <c r="H23" s="71">
        <v>0.11</v>
      </c>
      <c r="I23" s="71">
        <v>0.51</v>
      </c>
      <c r="J23" s="71">
        <v>0.08</v>
      </c>
      <c r="K23" s="71">
        <v>0.42</v>
      </c>
      <c r="L23" s="71"/>
    </row>
    <row r="24" spans="1:12" x14ac:dyDescent="0.25">
      <c r="A24" s="70"/>
      <c r="B24" t="s">
        <v>235</v>
      </c>
      <c r="C24" s="71">
        <v>0.05</v>
      </c>
      <c r="D24" s="71">
        <v>0.05</v>
      </c>
      <c r="E24" s="71">
        <v>0.05</v>
      </c>
      <c r="F24" s="71">
        <v>0.05</v>
      </c>
      <c r="G24" s="71">
        <v>0.05</v>
      </c>
      <c r="H24" s="71">
        <v>0.04</v>
      </c>
      <c r="I24" s="71">
        <v>0.2</v>
      </c>
      <c r="J24" s="71">
        <v>0.04</v>
      </c>
      <c r="K24" s="71">
        <v>0.19</v>
      </c>
      <c r="L24" s="71"/>
    </row>
    <row r="25" spans="1:12" x14ac:dyDescent="0.25">
      <c r="A25" s="70"/>
      <c r="B25" t="s">
        <v>237</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238</v>
      </c>
      <c r="C26" s="71">
        <v>5</v>
      </c>
      <c r="D26" s="71">
        <v>4.17</v>
      </c>
      <c r="E26" s="71">
        <v>3.89</v>
      </c>
      <c r="F26" s="71">
        <v>3.42</v>
      </c>
      <c r="G26" s="71">
        <v>3.25</v>
      </c>
      <c r="H26" s="71">
        <v>3.55</v>
      </c>
      <c r="I26" s="71">
        <v>16.690000000000001</v>
      </c>
      <c r="J26" s="71">
        <v>2.44</v>
      </c>
      <c r="K26" s="71">
        <v>13.01</v>
      </c>
      <c r="L26" s="71" t="s">
        <v>88</v>
      </c>
    </row>
    <row r="27" spans="1:12" x14ac:dyDescent="0.25">
      <c r="A27" s="70"/>
      <c r="B27" t="s">
        <v>239</v>
      </c>
      <c r="C27" s="71">
        <v>50000</v>
      </c>
      <c r="D27" s="71">
        <v>42000</v>
      </c>
      <c r="E27" s="71">
        <v>39000</v>
      </c>
      <c r="F27" s="71">
        <v>34000</v>
      </c>
      <c r="G27" s="71">
        <v>33000</v>
      </c>
      <c r="H27" s="71">
        <v>35700</v>
      </c>
      <c r="I27" s="71">
        <v>48300</v>
      </c>
      <c r="J27" s="71">
        <v>24750</v>
      </c>
      <c r="K27" s="71">
        <v>49500</v>
      </c>
      <c r="L27" s="71" t="s">
        <v>88</v>
      </c>
    </row>
    <row r="28" spans="1:12" x14ac:dyDescent="0.25">
      <c r="A28" s="70" t="s">
        <v>240</v>
      </c>
      <c r="C28" s="71"/>
      <c r="D28" s="71"/>
      <c r="E28" s="71"/>
      <c r="F28" s="71"/>
      <c r="G28" s="71"/>
      <c r="H28" s="71"/>
      <c r="I28" s="71"/>
      <c r="J28" s="71"/>
      <c r="K28" s="71"/>
      <c r="L28" s="71"/>
    </row>
    <row r="29" spans="1:12" x14ac:dyDescent="0.25">
      <c r="A29" s="70"/>
      <c r="B29" t="s">
        <v>241</v>
      </c>
      <c r="C29" s="71">
        <v>103.5</v>
      </c>
      <c r="D29" s="71">
        <v>115.5</v>
      </c>
      <c r="E29" s="71">
        <v>138</v>
      </c>
      <c r="F29" s="71">
        <v>138</v>
      </c>
      <c r="G29" s="71">
        <v>138</v>
      </c>
      <c r="H29" s="71">
        <v>98.17</v>
      </c>
      <c r="I29" s="71">
        <v>132.82</v>
      </c>
      <c r="J29" s="71">
        <v>103.5</v>
      </c>
      <c r="K29" s="71">
        <v>207</v>
      </c>
      <c r="L29" s="71"/>
    </row>
    <row r="30" spans="1:12" x14ac:dyDescent="0.25">
      <c r="A30" s="70"/>
      <c r="B30" t="s">
        <v>243</v>
      </c>
      <c r="C30" s="71">
        <v>167</v>
      </c>
      <c r="D30" s="71">
        <v>191</v>
      </c>
      <c r="E30" s="71">
        <v>236</v>
      </c>
      <c r="F30" s="71">
        <v>236</v>
      </c>
      <c r="G30" s="71">
        <v>236</v>
      </c>
      <c r="H30" s="71">
        <v>162.35</v>
      </c>
      <c r="I30" s="71">
        <v>219.65</v>
      </c>
      <c r="J30" s="71">
        <v>177</v>
      </c>
      <c r="K30" s="71">
        <v>354</v>
      </c>
      <c r="L30" s="71"/>
    </row>
    <row r="31" spans="1:12" x14ac:dyDescent="0.25">
      <c r="A31" s="70"/>
      <c r="B31" t="s">
        <v>244</v>
      </c>
      <c r="C31" s="71">
        <v>383.49</v>
      </c>
      <c r="D31" s="71">
        <v>349.01</v>
      </c>
      <c r="E31" s="71">
        <v>342.91</v>
      </c>
      <c r="F31" s="71">
        <v>342.91</v>
      </c>
      <c r="G31" s="71">
        <v>342.91</v>
      </c>
      <c r="H31" s="71">
        <v>410.61</v>
      </c>
      <c r="I31" s="71">
        <v>303.49</v>
      </c>
      <c r="J31" s="71">
        <v>457.21</v>
      </c>
      <c r="K31" s="71">
        <v>190.5</v>
      </c>
      <c r="L31" s="71" t="s">
        <v>92</v>
      </c>
    </row>
    <row r="32" spans="1:12" x14ac:dyDescent="0.25">
      <c r="A32" s="70"/>
      <c r="B32" t="s">
        <v>245</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246</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247</v>
      </c>
    </row>
    <row r="38" spans="1:15" x14ac:dyDescent="0.25">
      <c r="A38" s="70"/>
      <c r="B38" t="s">
        <v>248</v>
      </c>
    </row>
    <row r="39" spans="1:15" x14ac:dyDescent="0.25">
      <c r="A39" s="70"/>
      <c r="B39" t="s">
        <v>249</v>
      </c>
    </row>
    <row r="40" spans="1:15" x14ac:dyDescent="0.25">
      <c r="A40" s="70"/>
      <c r="B40" t="s">
        <v>250</v>
      </c>
    </row>
    <row r="41" spans="1:15" x14ac:dyDescent="0.25">
      <c r="A41" s="70"/>
      <c r="B41" t="s">
        <v>251</v>
      </c>
    </row>
    <row r="42" spans="1:15" x14ac:dyDescent="0.25">
      <c r="A42" s="70"/>
      <c r="B42" t="s">
        <v>267</v>
      </c>
    </row>
    <row r="43" spans="1:15" x14ac:dyDescent="0.25">
      <c r="A43" s="70"/>
      <c r="B43" t="s">
        <v>253</v>
      </c>
    </row>
    <row r="44" spans="1:15" x14ac:dyDescent="0.25">
      <c r="A44" s="70"/>
      <c r="B44" t="s">
        <v>254</v>
      </c>
    </row>
    <row r="45" spans="1:15" x14ac:dyDescent="0.25">
      <c r="A45" s="70"/>
      <c r="B45" t="s">
        <v>255</v>
      </c>
    </row>
    <row r="46" spans="1:15" x14ac:dyDescent="0.25">
      <c r="A46" s="70"/>
      <c r="B46" t="s">
        <v>256</v>
      </c>
    </row>
    <row r="47" spans="1:15" x14ac:dyDescent="0.25">
      <c r="A47" s="70"/>
      <c r="B47" t="s">
        <v>257</v>
      </c>
    </row>
    <row r="48" spans="1:15" x14ac:dyDescent="0.25">
      <c r="A48" s="70"/>
      <c r="B48" t="s">
        <v>258</v>
      </c>
    </row>
    <row r="49" spans="1:2" x14ac:dyDescent="0.25">
      <c r="A49" s="70"/>
      <c r="B49" t="s">
        <v>259</v>
      </c>
    </row>
    <row r="50" spans="1:2" x14ac:dyDescent="0.25">
      <c r="A50" s="70"/>
    </row>
    <row r="51" spans="1:2" x14ac:dyDescent="0.25">
      <c r="A51" s="70" t="s">
        <v>95</v>
      </c>
    </row>
    <row r="52" spans="1:2" x14ac:dyDescent="0.25">
      <c r="A52" s="70"/>
      <c r="B52" t="s">
        <v>260</v>
      </c>
    </row>
    <row r="53" spans="1:2" x14ac:dyDescent="0.25">
      <c r="A53" s="70"/>
      <c r="B53" t="s">
        <v>261</v>
      </c>
    </row>
    <row r="54" spans="1:2" x14ac:dyDescent="0.25">
      <c r="A54" s="70"/>
      <c r="B54" t="s">
        <v>262</v>
      </c>
    </row>
    <row r="55" spans="1:2" x14ac:dyDescent="0.25">
      <c r="A55" s="70"/>
      <c r="B55" t="s">
        <v>263</v>
      </c>
    </row>
    <row r="56" spans="1:2" x14ac:dyDescent="0.25">
      <c r="A56" s="70"/>
      <c r="B56" t="s">
        <v>264</v>
      </c>
    </row>
    <row r="57" spans="1:2" x14ac:dyDescent="0.25">
      <c r="A57" s="70"/>
      <c r="B57" t="s">
        <v>265</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abSelected="1" topLeftCell="M6" zoomScale="60" workbookViewId="0">
      <selection activeCell="M17" sqref="M17"/>
    </sheetView>
  </sheetViews>
  <sheetFormatPr defaultRowHeight="13.2" x14ac:dyDescent="0.25"/>
  <cols>
    <col min="13" max="13" width="27.88671875" bestFit="1" customWidth="1"/>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2" max="32" width="18.44140625" bestFit="1" customWidth="1"/>
    <col min="33" max="33" width="21.44140625" bestFit="1"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105</v>
      </c>
      <c r="R10" s="29" t="s">
        <v>61</v>
      </c>
      <c r="S10" s="29" t="s">
        <v>68</v>
      </c>
      <c r="T10" s="29" t="s">
        <v>50</v>
      </c>
      <c r="U10" s="29" t="s">
        <v>106</v>
      </c>
      <c r="V10" s="29" t="s">
        <v>57</v>
      </c>
      <c r="W10" s="29" t="s">
        <v>108</v>
      </c>
      <c r="X10" s="29" t="s">
        <v>109</v>
      </c>
      <c r="Y10" s="29" t="s">
        <v>70</v>
      </c>
      <c r="Z10" s="29" t="s">
        <v>48</v>
      </c>
      <c r="AA10" s="29" t="s">
        <v>49</v>
      </c>
      <c r="AB10" s="29" t="s">
        <v>64</v>
      </c>
      <c r="AC10" s="29" t="s">
        <v>373</v>
      </c>
      <c r="AE10" s="31" t="s">
        <v>34</v>
      </c>
      <c r="AF10" s="31" t="s">
        <v>26</v>
      </c>
      <c r="AG10" s="31" t="s">
        <v>27</v>
      </c>
      <c r="AH10" s="31" t="s">
        <v>4</v>
      </c>
      <c r="AI10" s="31" t="s">
        <v>37</v>
      </c>
      <c r="AJ10" s="31" t="s">
        <v>38</v>
      </c>
      <c r="AK10" s="31" t="s">
        <v>28</v>
      </c>
      <c r="AL10" s="31" t="s">
        <v>29</v>
      </c>
    </row>
    <row r="11" spans="13:38" ht="31.8" thickBot="1" x14ac:dyDescent="0.3">
      <c r="M11" s="31" t="s">
        <v>110</v>
      </c>
      <c r="N11" s="31" t="s">
        <v>22</v>
      </c>
      <c r="O11" s="31" t="s">
        <v>32</v>
      </c>
      <c r="P11" s="31" t="s">
        <v>33</v>
      </c>
      <c r="Q11" s="31" t="s">
        <v>111</v>
      </c>
      <c r="R11" s="31"/>
      <c r="S11" s="31"/>
      <c r="T11" s="31" t="s">
        <v>52</v>
      </c>
      <c r="U11" s="31" t="s">
        <v>112</v>
      </c>
      <c r="V11" s="31" t="s">
        <v>114</v>
      </c>
      <c r="W11" s="31"/>
      <c r="X11" s="31" t="s">
        <v>180</v>
      </c>
      <c r="Y11" s="31" t="s">
        <v>66</v>
      </c>
      <c r="Z11" s="31" t="s">
        <v>116</v>
      </c>
      <c r="AA11" s="31" t="s">
        <v>55</v>
      </c>
      <c r="AB11" s="31" t="s">
        <v>65</v>
      </c>
      <c r="AC11" s="31" t="s">
        <v>375</v>
      </c>
      <c r="AE11" s="61" t="s">
        <v>888</v>
      </c>
      <c r="AF11" t="s">
        <v>537</v>
      </c>
      <c r="AG11" t="s">
        <v>529</v>
      </c>
      <c r="AH11" t="s">
        <v>528</v>
      </c>
      <c r="AI11" s="28"/>
      <c r="AJ11" s="61" t="s">
        <v>164</v>
      </c>
      <c r="AK11" s="28"/>
      <c r="AL11" s="28"/>
    </row>
    <row r="12" spans="13:38" ht="21.6" thickBot="1" x14ac:dyDescent="0.3">
      <c r="M12" s="31" t="s">
        <v>117</v>
      </c>
      <c r="N12" s="31"/>
      <c r="O12" s="31"/>
      <c r="P12" s="31"/>
      <c r="Q12" s="31"/>
      <c r="R12" s="31"/>
      <c r="S12" s="31"/>
      <c r="T12" s="31"/>
      <c r="U12" s="31" t="s">
        <v>161</v>
      </c>
      <c r="V12" s="31" t="s">
        <v>80</v>
      </c>
      <c r="W12" s="31"/>
      <c r="X12" s="31" t="s">
        <v>120</v>
      </c>
      <c r="Y12" s="31" t="s">
        <v>165</v>
      </c>
      <c r="Z12" s="31" t="s">
        <v>551</v>
      </c>
      <c r="AA12" s="31" t="s">
        <v>168</v>
      </c>
      <c r="AB12" s="31" t="s">
        <v>167</v>
      </c>
      <c r="AC12" s="31" t="s">
        <v>120</v>
      </c>
      <c r="AD12" s="28"/>
      <c r="AE12" s="44"/>
      <c r="AI12" s="61"/>
    </row>
    <row r="13" spans="13:38" x14ac:dyDescent="0.25">
      <c r="M13" s="32" t="s">
        <v>889</v>
      </c>
      <c r="N13" s="32" t="s">
        <v>895</v>
      </c>
      <c r="O13" s="44" t="s">
        <v>67</v>
      </c>
      <c r="P13" t="s">
        <v>537</v>
      </c>
      <c r="S13">
        <v>2030</v>
      </c>
      <c r="U13">
        <f>$AL$51</f>
        <v>1.4285714285714286</v>
      </c>
      <c r="V13">
        <v>1</v>
      </c>
      <c r="X13">
        <v>30</v>
      </c>
      <c r="Y13">
        <v>1</v>
      </c>
      <c r="Z13">
        <f>AK37</f>
        <v>2.9545330196421734E-3</v>
      </c>
      <c r="AD13" s="28"/>
      <c r="AI13" s="61"/>
    </row>
    <row r="14" spans="13:38" x14ac:dyDescent="0.25">
      <c r="O14" t="s">
        <v>530</v>
      </c>
      <c r="U14">
        <f>$AL$52</f>
        <v>0.23469387755102042</v>
      </c>
      <c r="AD14" s="28"/>
      <c r="AI14" s="61"/>
    </row>
    <row r="15" spans="13:38" x14ac:dyDescent="0.25">
      <c r="O15" t="s">
        <v>531</v>
      </c>
      <c r="U15">
        <f>$AL$53</f>
        <v>4.7346938775510203</v>
      </c>
      <c r="AD15" s="28"/>
      <c r="AI15" s="61"/>
    </row>
    <row r="16" spans="13:38" x14ac:dyDescent="0.25">
      <c r="O16" t="s">
        <v>532</v>
      </c>
      <c r="U16">
        <f>$AL$54</f>
        <v>35.224489795918366</v>
      </c>
    </row>
    <row r="17" spans="13:38" x14ac:dyDescent="0.25">
      <c r="M17" s="394" t="s">
        <v>890</v>
      </c>
      <c r="N17" s="394" t="s">
        <v>896</v>
      </c>
      <c r="O17" s="394" t="s">
        <v>67</v>
      </c>
      <c r="P17" s="273" t="s">
        <v>537</v>
      </c>
      <c r="Q17" s="273"/>
      <c r="R17" s="273"/>
      <c r="S17" s="273">
        <v>2030</v>
      </c>
      <c r="T17" s="273"/>
      <c r="U17" s="273">
        <f>$AL$51</f>
        <v>1.4285714285714286</v>
      </c>
      <c r="V17" s="273">
        <v>1</v>
      </c>
      <c r="W17" s="273"/>
      <c r="X17" s="273">
        <v>30</v>
      </c>
      <c r="Y17" s="273">
        <v>1</v>
      </c>
      <c r="Z17" s="273">
        <f>Z13</f>
        <v>2.9545330196421734E-3</v>
      </c>
      <c r="AA17" s="273"/>
      <c r="AB17" s="273"/>
      <c r="AC17" s="273"/>
      <c r="AE17" s="27" t="s">
        <v>15</v>
      </c>
      <c r="AF17" s="28"/>
      <c r="AG17" s="28"/>
      <c r="AH17" s="28"/>
      <c r="AI17" s="28"/>
      <c r="AJ17" s="28"/>
      <c r="AK17" s="28"/>
      <c r="AL17" s="28"/>
    </row>
    <row r="18" spans="13:38" x14ac:dyDescent="0.25">
      <c r="O18" t="s">
        <v>530</v>
      </c>
      <c r="U18">
        <f>$AL$52</f>
        <v>0.23469387755102042</v>
      </c>
      <c r="AD18" s="32"/>
      <c r="AE18" s="29" t="s">
        <v>11</v>
      </c>
      <c r="AF18" s="29" t="s">
        <v>1</v>
      </c>
      <c r="AG18" s="29" t="s">
        <v>2</v>
      </c>
      <c r="AH18" s="29" t="s">
        <v>16</v>
      </c>
      <c r="AI18" s="29" t="s">
        <v>17</v>
      </c>
      <c r="AJ18" s="29" t="s">
        <v>18</v>
      </c>
      <c r="AK18" s="29" t="s">
        <v>19</v>
      </c>
      <c r="AL18" s="29" t="s">
        <v>20</v>
      </c>
    </row>
    <row r="19" spans="13:38" ht="31.8" thickBot="1" x14ac:dyDescent="0.3">
      <c r="O19" t="s">
        <v>531</v>
      </c>
      <c r="U19">
        <f>$AL$53</f>
        <v>4.7346938775510203</v>
      </c>
      <c r="AD19" s="32"/>
      <c r="AE19" s="31" t="s">
        <v>35</v>
      </c>
      <c r="AF19" s="31" t="s">
        <v>21</v>
      </c>
      <c r="AG19" s="31" t="s">
        <v>22</v>
      </c>
      <c r="AH19" s="31" t="s">
        <v>23</v>
      </c>
      <c r="AI19" s="31" t="s">
        <v>24</v>
      </c>
      <c r="AJ19" s="31" t="s">
        <v>178</v>
      </c>
      <c r="AK19" s="31" t="s">
        <v>39</v>
      </c>
      <c r="AL19" s="31" t="s">
        <v>25</v>
      </c>
    </row>
    <row r="20" spans="13:38" ht="13.8" thickBot="1" x14ac:dyDescent="0.3">
      <c r="O20" t="s">
        <v>532</v>
      </c>
      <c r="U20">
        <f>$AL$54</f>
        <v>35.224489795918366</v>
      </c>
      <c r="AE20" s="31" t="s">
        <v>47</v>
      </c>
      <c r="AF20" s="31"/>
      <c r="AG20" s="31"/>
      <c r="AH20" s="31"/>
      <c r="AI20" s="31"/>
      <c r="AJ20" s="31"/>
      <c r="AK20" s="31"/>
      <c r="AL20" s="31"/>
    </row>
    <row r="21" spans="13:38" x14ac:dyDescent="0.25">
      <c r="M21" s="394" t="s">
        <v>891</v>
      </c>
      <c r="N21" s="394" t="s">
        <v>897</v>
      </c>
      <c r="O21" s="394" t="s">
        <v>67</v>
      </c>
      <c r="P21" s="273" t="s">
        <v>537</v>
      </c>
      <c r="Q21" s="273"/>
      <c r="R21" s="273"/>
      <c r="S21" s="273">
        <v>2030</v>
      </c>
      <c r="T21" s="273"/>
      <c r="U21" s="273">
        <f>$AL$51</f>
        <v>1.4285714285714286</v>
      </c>
      <c r="V21" s="273">
        <v>1</v>
      </c>
      <c r="W21" s="273"/>
      <c r="X21" s="273">
        <v>30</v>
      </c>
      <c r="Y21" s="273">
        <v>1</v>
      </c>
      <c r="Z21" s="273">
        <f>Z17</f>
        <v>2.9545330196421734E-3</v>
      </c>
      <c r="AA21" s="273"/>
      <c r="AB21" s="273"/>
      <c r="AC21" s="273"/>
      <c r="AE21" s="32" t="s">
        <v>60</v>
      </c>
      <c r="AF21" s="32" t="s">
        <v>889</v>
      </c>
      <c r="AG21" s="32" t="s">
        <v>895</v>
      </c>
      <c r="AH21" s="32" t="s">
        <v>528</v>
      </c>
      <c r="AI21" s="32" t="s">
        <v>528</v>
      </c>
      <c r="AJ21" s="32" t="s">
        <v>164</v>
      </c>
      <c r="AK21" s="32" t="s">
        <v>537</v>
      </c>
      <c r="AL21" s="32" t="s">
        <v>177</v>
      </c>
    </row>
    <row r="22" spans="13:38" x14ac:dyDescent="0.25">
      <c r="O22" t="s">
        <v>530</v>
      </c>
      <c r="U22">
        <f>$AL$52</f>
        <v>0.23469387755102042</v>
      </c>
      <c r="AE22" s="32" t="s">
        <v>60</v>
      </c>
      <c r="AF22" s="32" t="s">
        <v>890</v>
      </c>
      <c r="AG22" s="32" t="s">
        <v>896</v>
      </c>
      <c r="AH22" s="32" t="s">
        <v>528</v>
      </c>
      <c r="AI22" s="32" t="s">
        <v>528</v>
      </c>
      <c r="AJ22" s="32" t="s">
        <v>164</v>
      </c>
      <c r="AK22" s="32" t="s">
        <v>537</v>
      </c>
      <c r="AL22" s="32" t="s">
        <v>177</v>
      </c>
    </row>
    <row r="23" spans="13:38" x14ac:dyDescent="0.25">
      <c r="O23" t="s">
        <v>531</v>
      </c>
      <c r="U23">
        <f>$AL$53</f>
        <v>4.7346938775510203</v>
      </c>
      <c r="AE23" s="32" t="s">
        <v>60</v>
      </c>
      <c r="AF23" s="32" t="s">
        <v>891</v>
      </c>
      <c r="AG23" s="32" t="s">
        <v>897</v>
      </c>
      <c r="AH23" s="32" t="s">
        <v>528</v>
      </c>
      <c r="AI23" s="32" t="s">
        <v>528</v>
      </c>
      <c r="AJ23" s="32" t="s">
        <v>164</v>
      </c>
      <c r="AK23" s="32" t="s">
        <v>537</v>
      </c>
      <c r="AL23" s="32" t="s">
        <v>177</v>
      </c>
    </row>
    <row r="24" spans="13:38" x14ac:dyDescent="0.25">
      <c r="O24" t="s">
        <v>532</v>
      </c>
      <c r="U24">
        <f>$AL$54</f>
        <v>35.224489795918366</v>
      </c>
      <c r="AE24" s="32" t="s">
        <v>60</v>
      </c>
      <c r="AF24" s="32" t="s">
        <v>892</v>
      </c>
      <c r="AG24" s="32" t="s">
        <v>898</v>
      </c>
      <c r="AH24" s="32" t="s">
        <v>528</v>
      </c>
      <c r="AI24" s="32" t="s">
        <v>528</v>
      </c>
      <c r="AJ24" s="32" t="s">
        <v>164</v>
      </c>
      <c r="AK24" s="32" t="s">
        <v>537</v>
      </c>
      <c r="AL24" s="32" t="s">
        <v>177</v>
      </c>
    </row>
    <row r="25" spans="13:38" x14ac:dyDescent="0.25">
      <c r="M25" s="394" t="s">
        <v>892</v>
      </c>
      <c r="N25" s="394" t="s">
        <v>898</v>
      </c>
      <c r="O25" s="394" t="s">
        <v>67</v>
      </c>
      <c r="P25" s="273" t="s">
        <v>537</v>
      </c>
      <c r="Q25" s="273"/>
      <c r="R25" s="273"/>
      <c r="S25" s="273">
        <v>2030</v>
      </c>
      <c r="T25" s="273"/>
      <c r="U25" s="273">
        <f>$AL$51</f>
        <v>1.4285714285714286</v>
      </c>
      <c r="V25" s="273">
        <v>1</v>
      </c>
      <c r="W25" s="273"/>
      <c r="X25" s="273">
        <v>30</v>
      </c>
      <c r="Y25" s="273">
        <v>1</v>
      </c>
      <c r="Z25" s="273">
        <f>Z21</f>
        <v>2.9545330196421734E-3</v>
      </c>
      <c r="AA25" s="273"/>
      <c r="AB25" s="273"/>
      <c r="AC25" s="273"/>
      <c r="AE25" s="32" t="s">
        <v>60</v>
      </c>
      <c r="AF25" s="32" t="s">
        <v>893</v>
      </c>
      <c r="AG25" s="32" t="s">
        <v>899</v>
      </c>
      <c r="AH25" s="32" t="s">
        <v>528</v>
      </c>
      <c r="AI25" s="32" t="s">
        <v>528</v>
      </c>
      <c r="AJ25" s="32" t="s">
        <v>164</v>
      </c>
      <c r="AK25" s="32" t="s">
        <v>537</v>
      </c>
      <c r="AL25" s="32" t="s">
        <v>177</v>
      </c>
    </row>
    <row r="26" spans="13:38" x14ac:dyDescent="0.25">
      <c r="O26" t="s">
        <v>530</v>
      </c>
      <c r="U26">
        <f>$AL$52</f>
        <v>0.23469387755102042</v>
      </c>
      <c r="AE26" s="32" t="s">
        <v>60</v>
      </c>
      <c r="AF26" s="32" t="s">
        <v>894</v>
      </c>
      <c r="AG26" s="32" t="s">
        <v>900</v>
      </c>
      <c r="AH26" s="32" t="s">
        <v>528</v>
      </c>
      <c r="AI26" s="32" t="s">
        <v>528</v>
      </c>
      <c r="AJ26" s="32" t="s">
        <v>164</v>
      </c>
      <c r="AK26" s="32" t="s">
        <v>537</v>
      </c>
      <c r="AL26" s="32" t="s">
        <v>177</v>
      </c>
    </row>
    <row r="27" spans="13:38" x14ac:dyDescent="0.25">
      <c r="O27" t="s">
        <v>531</v>
      </c>
      <c r="U27">
        <f>$AL$53</f>
        <v>4.7346938775510203</v>
      </c>
    </row>
    <row r="28" spans="13:38" x14ac:dyDescent="0.25">
      <c r="O28" t="s">
        <v>532</v>
      </c>
      <c r="U28">
        <f>$AL$54</f>
        <v>35.224489795918366</v>
      </c>
    </row>
    <row r="29" spans="13:38" x14ac:dyDescent="0.25">
      <c r="M29" s="394" t="s">
        <v>893</v>
      </c>
      <c r="N29" s="394" t="s">
        <v>899</v>
      </c>
      <c r="O29" s="394" t="s">
        <v>67</v>
      </c>
      <c r="P29" s="273" t="s">
        <v>537</v>
      </c>
      <c r="Q29" s="273"/>
      <c r="R29" s="273"/>
      <c r="S29" s="273">
        <v>2030</v>
      </c>
      <c r="T29" s="273"/>
      <c r="U29" s="273">
        <f>$AL$51</f>
        <v>1.4285714285714286</v>
      </c>
      <c r="V29" s="273">
        <v>1</v>
      </c>
      <c r="W29" s="273"/>
      <c r="X29" s="273">
        <v>30</v>
      </c>
      <c r="Y29" s="273">
        <v>1</v>
      </c>
      <c r="Z29" s="273">
        <f>Z25</f>
        <v>2.9545330196421734E-3</v>
      </c>
      <c r="AA29" s="273"/>
      <c r="AB29" s="273"/>
      <c r="AC29" s="273"/>
    </row>
    <row r="30" spans="13:38" x14ac:dyDescent="0.25">
      <c r="O30" t="s">
        <v>530</v>
      </c>
      <c r="U30">
        <f>$AL$52</f>
        <v>0.23469387755102042</v>
      </c>
    </row>
    <row r="31" spans="13:38" x14ac:dyDescent="0.25">
      <c r="O31" t="s">
        <v>531</v>
      </c>
      <c r="U31">
        <f>$AL$53</f>
        <v>4.7346938775510203</v>
      </c>
      <c r="AJ31" s="279" t="s">
        <v>546</v>
      </c>
    </row>
    <row r="32" spans="13:38" x14ac:dyDescent="0.25">
      <c r="O32" t="s">
        <v>532</v>
      </c>
      <c r="U32">
        <f>$AL$54</f>
        <v>35.224489795918366</v>
      </c>
    </row>
    <row r="33" spans="13:40" x14ac:dyDescent="0.25">
      <c r="M33" s="394" t="s">
        <v>894</v>
      </c>
      <c r="N33" s="394" t="s">
        <v>900</v>
      </c>
      <c r="O33" s="394" t="s">
        <v>67</v>
      </c>
      <c r="P33" s="273" t="s">
        <v>537</v>
      </c>
      <c r="Q33" s="273"/>
      <c r="R33" s="273"/>
      <c r="S33" s="273">
        <v>2030</v>
      </c>
      <c r="T33" s="273"/>
      <c r="U33" s="273">
        <f>$AL$51</f>
        <v>1.4285714285714286</v>
      </c>
      <c r="V33" s="273">
        <v>1</v>
      </c>
      <c r="W33" s="273"/>
      <c r="X33" s="273">
        <v>30</v>
      </c>
      <c r="Y33" s="273">
        <v>1</v>
      </c>
      <c r="Z33" s="273">
        <f>Z29</f>
        <v>2.9545330196421734E-3</v>
      </c>
      <c r="AA33" s="273"/>
      <c r="AB33" s="273"/>
      <c r="AC33" s="273"/>
      <c r="AJ33">
        <v>10800</v>
      </c>
      <c r="AK33" s="62" t="s">
        <v>547</v>
      </c>
      <c r="AM33">
        <v>7.46</v>
      </c>
      <c r="AN33" s="62" t="s">
        <v>524</v>
      </c>
    </row>
    <row r="34" spans="13:40" x14ac:dyDescent="0.25">
      <c r="O34" t="s">
        <v>530</v>
      </c>
      <c r="U34">
        <f>$AL$52</f>
        <v>0.23469387755102042</v>
      </c>
    </row>
    <row r="35" spans="13:40" x14ac:dyDescent="0.25">
      <c r="O35" t="s">
        <v>531</v>
      </c>
      <c r="U35">
        <f>$AL$53</f>
        <v>4.7346938775510203</v>
      </c>
      <c r="AJ35">
        <f>AJ33/AM33</f>
        <v>1447.721179624665</v>
      </c>
      <c r="AK35" s="62" t="s">
        <v>548</v>
      </c>
    </row>
    <row r="36" spans="13:40" x14ac:dyDescent="0.25">
      <c r="O36" t="s">
        <v>532</v>
      </c>
      <c r="U36">
        <f>$AL$54</f>
        <v>35.224489795918366</v>
      </c>
    </row>
    <row r="37" spans="13:40" x14ac:dyDescent="0.25">
      <c r="AJ37" s="281" t="s">
        <v>549</v>
      </c>
      <c r="AK37" s="281">
        <f>AJ35/AH49</f>
        <v>2.9545330196421734E-3</v>
      </c>
      <c r="AL37" s="281" t="s">
        <v>550</v>
      </c>
    </row>
    <row r="47" spans="13:40" x14ac:dyDescent="0.25">
      <c r="AL47" s="62" t="s">
        <v>545</v>
      </c>
    </row>
    <row r="49" spans="34:38" ht="15.6" x14ac:dyDescent="0.3">
      <c r="AH49" s="280">
        <v>490000</v>
      </c>
      <c r="AI49" s="280" t="s">
        <v>540</v>
      </c>
    </row>
    <row r="50" spans="34:38" ht="15.6" x14ac:dyDescent="0.3">
      <c r="AH50" s="280"/>
      <c r="AI50" s="280"/>
    </row>
    <row r="51" spans="34:38" ht="15.6" x14ac:dyDescent="0.3">
      <c r="AH51" s="280">
        <v>700000</v>
      </c>
      <c r="AI51" s="280" t="s">
        <v>541</v>
      </c>
      <c r="AL51">
        <f>AH51/$AH$49</f>
        <v>1.4285714285714286</v>
      </c>
    </row>
    <row r="52" spans="34:38" ht="15.6" x14ac:dyDescent="0.3">
      <c r="AH52" s="280">
        <v>115000</v>
      </c>
      <c r="AI52" s="280" t="s">
        <v>542</v>
      </c>
      <c r="AL52">
        <f t="shared" ref="AL52:AL54" si="0">AH52/$AH$49</f>
        <v>0.23469387755102042</v>
      </c>
    </row>
    <row r="53" spans="34:38" ht="15.6" x14ac:dyDescent="0.3">
      <c r="AH53" s="280">
        <v>2320000</v>
      </c>
      <c r="AI53" s="280" t="s">
        <v>543</v>
      </c>
      <c r="AL53">
        <f t="shared" si="0"/>
        <v>4.7346938775510203</v>
      </c>
    </row>
    <row r="54" spans="34:38" ht="15.6" x14ac:dyDescent="0.3">
      <c r="AH54" s="280">
        <v>17260000</v>
      </c>
      <c r="AI54" s="280" t="s">
        <v>544</v>
      </c>
      <c r="AL54">
        <f t="shared" si="0"/>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75"/>
  <sheetViews>
    <sheetView topLeftCell="A2" zoomScale="55" workbookViewId="0">
      <selection activeCell="R50" sqref="R50:S50"/>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103</v>
      </c>
      <c r="X4" t="s">
        <v>424</v>
      </c>
      <c r="Y4" t="s">
        <v>45</v>
      </c>
      <c r="AA4" t="s">
        <v>164</v>
      </c>
    </row>
    <row r="5" spans="2:29" x14ac:dyDescent="0.25">
      <c r="V5" s="28" t="s">
        <v>44</v>
      </c>
      <c r="W5" t="s">
        <v>122</v>
      </c>
      <c r="X5" t="s">
        <v>123</v>
      </c>
      <c r="Y5" t="s">
        <v>45</v>
      </c>
      <c r="Z5" s="28"/>
      <c r="AA5" s="61" t="s">
        <v>164</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108</v>
      </c>
      <c r="O11" s="29" t="s">
        <v>109</v>
      </c>
      <c r="P11" s="29" t="s">
        <v>70</v>
      </c>
      <c r="Q11" s="29" t="s">
        <v>48</v>
      </c>
      <c r="R11" s="29" t="s">
        <v>49</v>
      </c>
      <c r="S11" s="29" t="s">
        <v>64</v>
      </c>
      <c r="V11" s="29" t="s">
        <v>11</v>
      </c>
      <c r="W11" s="29" t="s">
        <v>1</v>
      </c>
      <c r="X11" s="29" t="s">
        <v>2</v>
      </c>
      <c r="Y11" s="29" t="s">
        <v>16</v>
      </c>
      <c r="Z11" s="29" t="s">
        <v>17</v>
      </c>
      <c r="AA11" s="29" t="s">
        <v>18</v>
      </c>
      <c r="AB11" s="29" t="s">
        <v>19</v>
      </c>
      <c r="AC11" s="29" t="s">
        <v>20</v>
      </c>
    </row>
    <row r="12" spans="2:29" ht="21.6" thickBot="1" x14ac:dyDescent="0.3">
      <c r="B12" s="31" t="s">
        <v>110</v>
      </c>
      <c r="C12" s="31" t="s">
        <v>22</v>
      </c>
      <c r="D12" s="31" t="s">
        <v>158</v>
      </c>
      <c r="E12" s="31" t="s">
        <v>32</v>
      </c>
      <c r="F12" s="31" t="s">
        <v>33</v>
      </c>
      <c r="G12" s="31" t="s">
        <v>111</v>
      </c>
      <c r="H12" s="31"/>
      <c r="I12" s="31"/>
      <c r="J12" s="31" t="s">
        <v>52</v>
      </c>
      <c r="K12" s="31" t="s">
        <v>112</v>
      </c>
      <c r="L12" s="31" t="s">
        <v>113</v>
      </c>
      <c r="M12" s="31" t="s">
        <v>114</v>
      </c>
      <c r="N12" s="31"/>
      <c r="O12" s="31" t="s">
        <v>180</v>
      </c>
      <c r="P12" s="31" t="s">
        <v>66</v>
      </c>
      <c r="Q12" s="31" t="s">
        <v>116</v>
      </c>
      <c r="R12" s="31" t="s">
        <v>55</v>
      </c>
      <c r="S12" s="31" t="s">
        <v>65</v>
      </c>
      <c r="V12" s="31" t="s">
        <v>35</v>
      </c>
      <c r="W12" s="31" t="s">
        <v>21</v>
      </c>
      <c r="X12" s="31" t="s">
        <v>22</v>
      </c>
      <c r="Y12" s="31" t="s">
        <v>23</v>
      </c>
      <c r="Z12" s="31" t="s">
        <v>24</v>
      </c>
      <c r="AA12" s="31" t="s">
        <v>178</v>
      </c>
      <c r="AB12" s="31" t="s">
        <v>39</v>
      </c>
      <c r="AC12" s="31" t="s">
        <v>25</v>
      </c>
    </row>
    <row r="13" spans="2:29" ht="13.8" thickBot="1" x14ac:dyDescent="0.3">
      <c r="B13" s="31" t="s">
        <v>117</v>
      </c>
      <c r="C13" s="31"/>
      <c r="D13" s="10"/>
      <c r="E13" s="31"/>
      <c r="F13" s="31"/>
      <c r="G13" s="31"/>
      <c r="H13" s="31"/>
      <c r="I13" s="31"/>
      <c r="J13" s="31" t="s">
        <v>118</v>
      </c>
      <c r="K13" s="31" t="s">
        <v>565</v>
      </c>
      <c r="L13" s="31" t="s">
        <v>119</v>
      </c>
      <c r="M13" s="31" t="s">
        <v>80</v>
      </c>
      <c r="N13" s="31"/>
      <c r="O13" s="31" t="s">
        <v>120</v>
      </c>
      <c r="P13" s="31" t="s">
        <v>165</v>
      </c>
      <c r="Q13" s="31" t="s">
        <v>166</v>
      </c>
      <c r="R13" s="31" t="s">
        <v>168</v>
      </c>
      <c r="S13" s="31" t="s">
        <v>167</v>
      </c>
      <c r="V13" s="31" t="s">
        <v>47</v>
      </c>
      <c r="W13" s="31"/>
      <c r="X13" s="31"/>
      <c r="Y13" s="31"/>
      <c r="Z13" s="31"/>
      <c r="AA13" s="31"/>
      <c r="AB13" s="31"/>
      <c r="AC13" s="31"/>
    </row>
    <row r="14" spans="2:29" x14ac:dyDescent="0.25">
      <c r="B14" s="44" t="s">
        <v>101</v>
      </c>
      <c r="C14" s="44" t="s">
        <v>102</v>
      </c>
      <c r="D14" s="35"/>
      <c r="E14" s="44" t="s">
        <v>41</v>
      </c>
      <c r="F14" t="s">
        <v>122</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V14" s="32" t="s">
        <v>589</v>
      </c>
      <c r="W14" s="32" t="s">
        <v>101</v>
      </c>
      <c r="X14" s="32" t="s">
        <v>102</v>
      </c>
      <c r="Y14" s="32" t="s">
        <v>45</v>
      </c>
      <c r="Z14" s="61" t="s">
        <v>62</v>
      </c>
      <c r="AA14" s="32" t="s">
        <v>164</v>
      </c>
      <c r="AB14" t="s">
        <v>122</v>
      </c>
      <c r="AC14" s="32" t="s">
        <v>177</v>
      </c>
    </row>
    <row r="15" spans="2:29" x14ac:dyDescent="0.25">
      <c r="B15" s="44"/>
      <c r="C15" s="44"/>
      <c r="E15" s="44"/>
      <c r="F15" s="44"/>
      <c r="G15" s="44" t="s">
        <v>103</v>
      </c>
      <c r="H15" s="44">
        <v>2025</v>
      </c>
      <c r="I15" s="44"/>
      <c r="J15" s="79" t="s">
        <v>104</v>
      </c>
      <c r="K15" s="79"/>
      <c r="L15" s="45">
        <f>'86 AEC 1000 MW'!C15/'86 AEC 1000 MW'!C13</f>
        <v>0.50055789038089704</v>
      </c>
      <c r="M15" s="44"/>
      <c r="N15" s="44" t="s">
        <v>104</v>
      </c>
      <c r="O15" s="46"/>
      <c r="P15" s="47"/>
      <c r="Q15" s="45"/>
      <c r="R15" s="45"/>
      <c r="S15" s="44"/>
      <c r="V15" s="32" t="s">
        <v>589</v>
      </c>
      <c r="W15" s="16" t="s">
        <v>271</v>
      </c>
      <c r="X15" s="16" t="s">
        <v>272</v>
      </c>
      <c r="Y15" s="32" t="s">
        <v>45</v>
      </c>
      <c r="Z15" s="61" t="s">
        <v>62</v>
      </c>
      <c r="AA15" s="32" t="s">
        <v>164</v>
      </c>
      <c r="AB15" t="s">
        <v>122</v>
      </c>
      <c r="AC15" s="32" t="s">
        <v>177</v>
      </c>
    </row>
    <row r="16" spans="2:29" x14ac:dyDescent="0.25">
      <c r="D16" s="35"/>
      <c r="E16" s="44" t="s">
        <v>41</v>
      </c>
      <c r="F16" t="s">
        <v>122</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V16" s="32" t="s">
        <v>589</v>
      </c>
      <c r="W16" s="44" t="s">
        <v>273</v>
      </c>
      <c r="X16" s="44" t="s">
        <v>274</v>
      </c>
      <c r="Y16" s="32" t="s">
        <v>45</v>
      </c>
      <c r="Z16" s="61" t="s">
        <v>62</v>
      </c>
      <c r="AA16" s="32" t="s">
        <v>164</v>
      </c>
      <c r="AB16" t="s">
        <v>122</v>
      </c>
      <c r="AC16" s="32" t="s">
        <v>177</v>
      </c>
    </row>
    <row r="17" spans="2:28" x14ac:dyDescent="0.25">
      <c r="E17" s="44"/>
      <c r="F17" s="44"/>
      <c r="G17" s="44" t="s">
        <v>103</v>
      </c>
      <c r="H17">
        <v>2030</v>
      </c>
      <c r="J17" s="45"/>
      <c r="K17" s="79"/>
      <c r="L17" s="45">
        <f>'86 AEC 1000 MW'!D15/'86 AEC 1000 MW'!D13</f>
        <v>0.40670026435279499</v>
      </c>
      <c r="N17" t="s">
        <v>104</v>
      </c>
      <c r="Q17" s="12"/>
      <c r="R17" s="45"/>
    </row>
    <row r="18" spans="2:28" x14ac:dyDescent="0.25">
      <c r="D18" s="35"/>
      <c r="E18" s="44" t="s">
        <v>41</v>
      </c>
      <c r="F18" t="s">
        <v>122</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V18" s="44"/>
      <c r="W18" s="44"/>
      <c r="X18" s="44"/>
      <c r="Y18" s="44"/>
    </row>
    <row r="19" spans="2:28" x14ac:dyDescent="0.25">
      <c r="E19" s="44"/>
      <c r="F19" s="44"/>
      <c r="G19" s="44" t="s">
        <v>103</v>
      </c>
      <c r="H19">
        <v>2040</v>
      </c>
      <c r="J19" s="45"/>
      <c r="K19" s="79"/>
      <c r="L19" s="45">
        <f>'86 AEC 1000 MW'!E15/'86 AEC 1000 MW'!E13</f>
        <v>0.3289899127952215</v>
      </c>
      <c r="N19" t="s">
        <v>104</v>
      </c>
      <c r="Q19" s="12"/>
      <c r="R19" s="45"/>
      <c r="W19" s="44"/>
      <c r="X19" s="44"/>
      <c r="Y19" s="44"/>
      <c r="Z19" s="44"/>
      <c r="AA19" s="44"/>
      <c r="AB19" s="44"/>
    </row>
    <row r="20" spans="2:28" x14ac:dyDescent="0.25">
      <c r="D20" s="35"/>
      <c r="E20" s="44" t="s">
        <v>41</v>
      </c>
      <c r="F20" t="s">
        <v>122</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W20" s="44"/>
      <c r="X20" s="44"/>
      <c r="Y20" s="44"/>
      <c r="Z20" s="44"/>
      <c r="AA20" s="44"/>
      <c r="AB20" s="44"/>
    </row>
    <row r="21" spans="2:28" ht="13.8" thickBot="1" x14ac:dyDescent="0.3">
      <c r="B21" s="16"/>
      <c r="C21" s="16"/>
      <c r="E21" s="44"/>
      <c r="F21" s="44"/>
      <c r="G21" s="44" t="s">
        <v>103</v>
      </c>
      <c r="H21">
        <v>2050</v>
      </c>
      <c r="I21" s="16"/>
      <c r="J21" s="45"/>
      <c r="K21" s="79"/>
      <c r="L21" s="45">
        <f>'86 AEC 1000 MW'!F15/'86 AEC 1000 MW'!F13</f>
        <v>0.22784953094687607</v>
      </c>
      <c r="M21" s="16"/>
      <c r="N21" s="16" t="s">
        <v>104</v>
      </c>
      <c r="O21" s="16"/>
      <c r="P21" s="16"/>
      <c r="Q21" s="16"/>
      <c r="R21" s="16"/>
      <c r="S21" s="16"/>
      <c r="V21" s="16"/>
      <c r="W21" s="16"/>
      <c r="X21" s="16"/>
      <c r="Y21" s="16"/>
      <c r="Z21" s="44"/>
      <c r="AA21" s="44"/>
      <c r="AB21" s="44"/>
    </row>
    <row r="22" spans="2:28" x14ac:dyDescent="0.25">
      <c r="B22" s="127" t="s">
        <v>271</v>
      </c>
      <c r="C22" s="127" t="s">
        <v>272</v>
      </c>
      <c r="D22" s="57"/>
      <c r="E22" s="57" t="s">
        <v>41</v>
      </c>
      <c r="F22" s="57" t="s">
        <v>122</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V22" s="16"/>
      <c r="W22" s="16"/>
      <c r="X22" s="16"/>
      <c r="Y22" s="16"/>
      <c r="Z22" s="44"/>
      <c r="AA22" s="44"/>
      <c r="AB22" s="44"/>
    </row>
    <row r="23" spans="2:28" x14ac:dyDescent="0.25">
      <c r="B23" s="16"/>
      <c r="C23" s="16"/>
      <c r="E23" s="16"/>
      <c r="F23" s="44"/>
      <c r="G23" s="16" t="s">
        <v>103</v>
      </c>
      <c r="H23" s="44">
        <v>2025</v>
      </c>
      <c r="I23" s="44"/>
      <c r="J23" s="26"/>
      <c r="K23" s="79"/>
      <c r="L23" s="26">
        <f>'86 PEMEC 1000MW'!E18/'86 PEMEC 1000MW'!E14</f>
        <v>0.55758516631359412</v>
      </c>
      <c r="M23" s="16"/>
      <c r="N23" s="16" t="s">
        <v>104</v>
      </c>
      <c r="O23" s="16"/>
      <c r="P23" s="47"/>
      <c r="Q23" s="26"/>
      <c r="R23" s="26"/>
      <c r="S23" s="16"/>
      <c r="V23" s="16"/>
      <c r="W23" s="16"/>
      <c r="X23" s="16"/>
      <c r="Y23" s="16"/>
      <c r="Z23" s="44"/>
      <c r="AA23" s="44"/>
      <c r="AB23" s="44"/>
    </row>
    <row r="24" spans="2:28" x14ac:dyDescent="0.25">
      <c r="B24" s="16"/>
      <c r="C24" s="16"/>
      <c r="D24" s="35"/>
      <c r="E24" s="44" t="s">
        <v>41</v>
      </c>
      <c r="F24" t="s">
        <v>122</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0">Q24*0.04</f>
        <v>41.026962018380516</v>
      </c>
      <c r="S24" s="16"/>
      <c r="V24" s="16"/>
      <c r="W24" s="16"/>
      <c r="X24" s="16"/>
      <c r="Y24" s="16"/>
      <c r="Z24" s="44"/>
      <c r="AA24" s="44"/>
      <c r="AB24" s="44"/>
    </row>
    <row r="25" spans="2:28" x14ac:dyDescent="0.25">
      <c r="B25" s="16"/>
      <c r="C25" s="16"/>
      <c r="E25" s="16"/>
      <c r="F25" s="44"/>
      <c r="G25" s="16" t="s">
        <v>103</v>
      </c>
      <c r="H25">
        <v>2030</v>
      </c>
      <c r="J25" s="26"/>
      <c r="K25" s="79"/>
      <c r="L25" s="26">
        <f>'86 PEMEC 1000MW'!F18/'86 PEMEC 1000MW'!F14</f>
        <v>0.4522367073507863</v>
      </c>
      <c r="M25" s="16"/>
      <c r="N25" s="16" t="s">
        <v>104</v>
      </c>
      <c r="O25" s="16"/>
      <c r="Q25" s="26"/>
      <c r="R25" s="26"/>
      <c r="S25" s="16"/>
      <c r="V25" s="16"/>
      <c r="W25" s="16"/>
      <c r="X25" s="16"/>
      <c r="Y25" s="16"/>
      <c r="Z25" s="44"/>
      <c r="AA25" s="44"/>
      <c r="AB25" s="44"/>
    </row>
    <row r="26" spans="2:28" x14ac:dyDescent="0.25">
      <c r="B26" s="16"/>
      <c r="C26" s="16"/>
      <c r="D26" s="35"/>
      <c r="E26" s="44" t="s">
        <v>41</v>
      </c>
      <c r="F26" t="s">
        <v>122</v>
      </c>
      <c r="G26" s="16"/>
      <c r="H26">
        <v>2040</v>
      </c>
      <c r="J26" s="26">
        <f>'86 PEMEC 1000MW'!G14/100</f>
        <v>0.61597080453242747</v>
      </c>
      <c r="K26" s="45"/>
      <c r="L26" s="26"/>
      <c r="M26">
        <v>0.94</v>
      </c>
      <c r="N26" s="16">
        <v>0.46</v>
      </c>
      <c r="O26" s="16">
        <v>25</v>
      </c>
      <c r="P26">
        <v>31.536000000000001</v>
      </c>
      <c r="Q26" s="26">
        <f>'86 PEMEC 1000MW'!G26/SUP_H2!J26</f>
        <v>730.5541053063173</v>
      </c>
      <c r="R26" s="26">
        <f t="shared" si="0"/>
        <v>29.222164212252693</v>
      </c>
      <c r="S26" s="16"/>
      <c r="V26" s="16"/>
      <c r="W26" s="16"/>
      <c r="X26" s="16"/>
      <c r="Y26" s="16"/>
      <c r="Z26" s="44"/>
      <c r="AA26" s="44"/>
      <c r="AB26" s="44"/>
    </row>
    <row r="27" spans="2:28" x14ac:dyDescent="0.25">
      <c r="B27" s="16"/>
      <c r="C27" s="16"/>
      <c r="E27" s="16"/>
      <c r="F27" s="44"/>
      <c r="G27" s="16" t="s">
        <v>103</v>
      </c>
      <c r="H27">
        <v>2040</v>
      </c>
      <c r="J27" s="26"/>
      <c r="K27" s="79"/>
      <c r="L27" s="26">
        <f>'86 PEMEC 1000MW'!G18/'86 PEMEC 1000MW'!G14</f>
        <v>0.36881361943485769</v>
      </c>
      <c r="M27" s="16"/>
      <c r="N27" s="16" t="s">
        <v>104</v>
      </c>
      <c r="O27" s="16"/>
      <c r="Q27" s="26"/>
      <c r="R27" s="26"/>
      <c r="S27" s="16"/>
      <c r="V27" s="16"/>
      <c r="W27" s="16"/>
      <c r="X27" s="16"/>
      <c r="Y27" s="16"/>
    </row>
    <row r="28" spans="2:28" x14ac:dyDescent="0.25">
      <c r="B28" s="16"/>
      <c r="C28" s="16"/>
      <c r="D28" s="35"/>
      <c r="E28" s="44" t="s">
        <v>41</v>
      </c>
      <c r="F28" t="s">
        <v>122</v>
      </c>
      <c r="G28" s="16"/>
      <c r="H28">
        <v>2050</v>
      </c>
      <c r="J28" s="26">
        <f>'86 PEMEC 1000MW'!H14/100</f>
        <v>0.66389021949103566</v>
      </c>
      <c r="K28" s="45"/>
      <c r="L28" s="26"/>
      <c r="M28">
        <v>0.94</v>
      </c>
      <c r="N28" s="16">
        <v>0.46</v>
      </c>
      <c r="O28" s="16">
        <v>25</v>
      </c>
      <c r="P28">
        <v>31.536000000000001</v>
      </c>
      <c r="Q28" s="26">
        <f>'86 PEMEC 1000MW'!H26/SUP_H2!J28</f>
        <v>489.53876779380448</v>
      </c>
      <c r="R28" s="26">
        <f t="shared" si="0"/>
        <v>19.581550711752179</v>
      </c>
      <c r="S28" s="16"/>
      <c r="V28" s="16"/>
      <c r="W28" s="16"/>
      <c r="X28" s="16"/>
      <c r="Y28" s="16"/>
    </row>
    <row r="29" spans="2:28" ht="13.8" thickBot="1" x14ac:dyDescent="0.3">
      <c r="B29" s="16"/>
      <c r="C29" s="16"/>
      <c r="E29" s="16"/>
      <c r="F29" s="44"/>
      <c r="G29" s="16" t="s">
        <v>103</v>
      </c>
      <c r="H29">
        <v>2050</v>
      </c>
      <c r="I29" s="16"/>
      <c r="J29" s="26"/>
      <c r="K29" s="79"/>
      <c r="L29" s="26">
        <f>'86 PEMEC 1000MW'!H18/'86 PEMEC 1000MW'!H14</f>
        <v>0.25514859683095392</v>
      </c>
      <c r="M29" s="16"/>
      <c r="N29" s="16" t="s">
        <v>104</v>
      </c>
      <c r="O29" s="16"/>
      <c r="P29" s="16"/>
      <c r="Q29" s="16"/>
      <c r="R29" s="16"/>
      <c r="S29" s="16"/>
      <c r="V29" s="16"/>
      <c r="W29" s="16"/>
      <c r="X29" s="16"/>
      <c r="Y29" s="16"/>
    </row>
    <row r="30" spans="2:28" x14ac:dyDescent="0.25">
      <c r="B30" s="57" t="s">
        <v>273</v>
      </c>
      <c r="C30" s="57" t="s">
        <v>274</v>
      </c>
      <c r="D30" s="57"/>
      <c r="E30" s="57" t="s">
        <v>41</v>
      </c>
      <c r="F30" s="57" t="s">
        <v>122</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V30" s="16"/>
      <c r="W30" s="16"/>
      <c r="X30" s="16"/>
      <c r="Y30" s="16"/>
    </row>
    <row r="31" spans="2:28" x14ac:dyDescent="0.25">
      <c r="B31" s="44"/>
      <c r="C31" s="44"/>
      <c r="E31" s="16"/>
      <c r="F31" s="44"/>
      <c r="G31" s="44" t="s">
        <v>103</v>
      </c>
      <c r="H31" s="44">
        <v>2025</v>
      </c>
      <c r="I31" s="16"/>
      <c r="J31" s="16" t="s">
        <v>104</v>
      </c>
      <c r="K31" s="79"/>
      <c r="L31" s="16">
        <f>'86 SOEC 100MW'!C17/'86 SOEC 100MW'!C15</f>
        <v>0.25439081059245172</v>
      </c>
      <c r="M31" s="16"/>
      <c r="N31" s="16" t="s">
        <v>104</v>
      </c>
      <c r="O31" s="16"/>
      <c r="P31" s="47"/>
      <c r="Q31" s="26"/>
      <c r="R31" s="26"/>
      <c r="S31" s="16"/>
      <c r="V31" s="16"/>
      <c r="W31" s="16"/>
      <c r="X31" s="16"/>
      <c r="Y31" s="16"/>
    </row>
    <row r="32" spans="2:28" x14ac:dyDescent="0.25">
      <c r="B32" s="44"/>
      <c r="C32" s="44"/>
      <c r="D32" s="44" t="s">
        <v>593</v>
      </c>
      <c r="E32" s="16"/>
      <c r="F32" s="44"/>
      <c r="G32" s="44"/>
      <c r="H32" s="44">
        <v>2025</v>
      </c>
      <c r="I32" s="16"/>
      <c r="J32" s="16"/>
      <c r="K32" s="298">
        <f>'86 SOEC 100MW'!C12/'86 SOEC 100MW'!C15</f>
        <v>0.30420270585711767</v>
      </c>
      <c r="L32" s="16"/>
      <c r="M32" s="16"/>
      <c r="N32" s="16"/>
      <c r="O32" s="16"/>
      <c r="P32" s="47"/>
      <c r="Q32" s="26"/>
      <c r="R32" s="26"/>
      <c r="S32" s="16"/>
      <c r="V32" s="16"/>
      <c r="W32" s="16"/>
      <c r="X32" s="16"/>
      <c r="Y32" s="16"/>
    </row>
    <row r="33" spans="2:25" x14ac:dyDescent="0.25">
      <c r="B33" s="44"/>
      <c r="C33" s="44"/>
      <c r="D33" s="35"/>
      <c r="E33" s="44" t="s">
        <v>41</v>
      </c>
      <c r="F33" t="s">
        <v>122</v>
      </c>
      <c r="G33" s="44"/>
      <c r="H33">
        <v>2030</v>
      </c>
      <c r="I33" s="16"/>
      <c r="J33" s="16">
        <f>'86 SOEC 100MW'!D15/'86 SOEC 100MW'!D9</f>
        <v>0.86442112000479487</v>
      </c>
      <c r="K33" s="45"/>
      <c r="L33" s="16"/>
      <c r="M33" s="16">
        <v>0.94</v>
      </c>
      <c r="N33" s="16">
        <v>0.46</v>
      </c>
      <c r="O33" s="16">
        <v>25</v>
      </c>
      <c r="P33">
        <v>31.536000000000001</v>
      </c>
      <c r="Q33" s="26">
        <f>'86 SOEC 100MW'!D25/J33</f>
        <v>896.55375379502664</v>
      </c>
      <c r="R33" s="26">
        <f t="shared" ref="R33:R39" si="1">0.12*Q33</f>
        <v>107.5864504554032</v>
      </c>
      <c r="S33" s="16"/>
      <c r="V33" s="16"/>
      <c r="W33" s="16"/>
      <c r="X33" s="16"/>
      <c r="Y33" s="16"/>
    </row>
    <row r="34" spans="2:25" x14ac:dyDescent="0.25">
      <c r="B34" s="44"/>
      <c r="C34" s="44"/>
      <c r="E34" s="16"/>
      <c r="F34" s="44"/>
      <c r="G34" s="44" t="s">
        <v>103</v>
      </c>
      <c r="H34">
        <v>2030</v>
      </c>
      <c r="I34" s="16"/>
      <c r="J34" s="16"/>
      <c r="K34" s="79"/>
      <c r="L34" s="16">
        <f>'86 SOEC 100MW'!D17/'86 SOEC 100MW'!D15</f>
        <v>0.20650924998006751</v>
      </c>
      <c r="M34" s="16"/>
      <c r="N34" s="16" t="s">
        <v>104</v>
      </c>
      <c r="O34" s="16"/>
      <c r="Q34" s="26"/>
      <c r="R34" s="26"/>
      <c r="S34" s="16"/>
      <c r="V34" s="16"/>
      <c r="W34" s="16"/>
      <c r="X34" s="16"/>
      <c r="Y34" s="16"/>
    </row>
    <row r="35" spans="2:25" x14ac:dyDescent="0.25">
      <c r="B35" s="44"/>
      <c r="C35" s="44"/>
      <c r="D35" s="44" t="s">
        <v>593</v>
      </c>
      <c r="E35" s="16"/>
      <c r="F35" s="44"/>
      <c r="G35" s="44"/>
      <c r="H35">
        <v>2030</v>
      </c>
      <c r="I35" s="16"/>
      <c r="J35" s="16"/>
      <c r="K35" s="79">
        <f>'86 SOEC 100MW'!D12/'86 SOEC 100MW'!D15</f>
        <v>0.28022918371473482</v>
      </c>
      <c r="L35" s="16"/>
      <c r="M35" s="16"/>
      <c r="N35" s="16"/>
      <c r="O35" s="16"/>
      <c r="Q35" s="26"/>
      <c r="R35" s="26"/>
      <c r="S35" s="16"/>
      <c r="V35" s="16"/>
      <c r="W35" s="16"/>
      <c r="X35" s="16"/>
      <c r="Y35" s="16"/>
    </row>
    <row r="36" spans="2:25" x14ac:dyDescent="0.25">
      <c r="B36" s="44"/>
      <c r="C36" s="44"/>
      <c r="D36" s="35"/>
      <c r="E36" s="44" t="s">
        <v>41</v>
      </c>
      <c r="F36" t="s">
        <v>122</v>
      </c>
      <c r="G36" s="44"/>
      <c r="H36">
        <v>2040</v>
      </c>
      <c r="I36" s="16"/>
      <c r="J36" s="16">
        <f>'86 SOEC 100MW'!E15/'86 SOEC 100MW'!E9</f>
        <v>0.86659583290880182</v>
      </c>
      <c r="K36" s="45"/>
      <c r="L36" s="16"/>
      <c r="M36" s="16">
        <v>0.94</v>
      </c>
      <c r="N36" s="16">
        <v>0.46</v>
      </c>
      <c r="O36" s="16">
        <v>25</v>
      </c>
      <c r="P36">
        <v>31.536000000000001</v>
      </c>
      <c r="Q36" s="26">
        <f>'86 SOEC 100MW'!E25/SUP_H2!J36</f>
        <v>750.06130345471468</v>
      </c>
      <c r="R36" s="26">
        <f t="shared" si="1"/>
        <v>90.007356414565763</v>
      </c>
      <c r="S36" s="16"/>
      <c r="V36" s="16"/>
      <c r="W36" s="16"/>
      <c r="X36" s="16"/>
      <c r="Y36" s="16"/>
    </row>
    <row r="37" spans="2:25" x14ac:dyDescent="0.25">
      <c r="B37" s="44"/>
      <c r="C37" s="44"/>
      <c r="E37" s="16"/>
      <c r="F37" s="44"/>
      <c r="G37" s="44" t="s">
        <v>103</v>
      </c>
      <c r="H37">
        <v>2040</v>
      </c>
      <c r="I37" s="16"/>
      <c r="J37" s="16"/>
      <c r="K37" s="79"/>
      <c r="L37" s="16">
        <f>'86 SOEC 100MW'!E17/'86 SOEC 100MW'!E15</f>
        <v>0.1865992907909847</v>
      </c>
      <c r="M37" s="16"/>
      <c r="N37" s="16" t="s">
        <v>104</v>
      </c>
      <c r="O37" s="16"/>
      <c r="Q37" s="26"/>
      <c r="R37" s="26"/>
      <c r="S37" s="16"/>
      <c r="V37" s="16"/>
      <c r="W37" s="16"/>
      <c r="X37" s="16"/>
      <c r="Y37" s="16"/>
    </row>
    <row r="38" spans="2:25" x14ac:dyDescent="0.25">
      <c r="B38" s="44"/>
      <c r="C38" s="44"/>
      <c r="D38" s="44" t="s">
        <v>593</v>
      </c>
      <c r="E38" s="16"/>
      <c r="F38" s="44"/>
      <c r="G38" s="44"/>
      <c r="H38">
        <v>2040</v>
      </c>
      <c r="I38" s="16"/>
      <c r="J38" s="16"/>
      <c r="K38" s="79">
        <f>'86 SOEC 100MW'!E12/'86 SOEC 100MW'!E15</f>
        <v>0.26367681429328454</v>
      </c>
      <c r="L38" s="16"/>
      <c r="M38" s="16"/>
      <c r="N38" s="16"/>
      <c r="O38" s="16"/>
      <c r="Q38" s="26"/>
      <c r="R38" s="26"/>
      <c r="S38" s="16"/>
      <c r="V38" s="16"/>
      <c r="W38" s="16"/>
      <c r="X38" s="16"/>
      <c r="Y38" s="16"/>
    </row>
    <row r="39" spans="2:25" x14ac:dyDescent="0.25">
      <c r="B39" s="44"/>
      <c r="C39" s="44"/>
      <c r="D39" s="35"/>
      <c r="E39" s="44" t="s">
        <v>41</v>
      </c>
      <c r="F39" t="s">
        <v>122</v>
      </c>
      <c r="G39" s="44"/>
      <c r="H39">
        <v>2050</v>
      </c>
      <c r="I39" s="16"/>
      <c r="J39" s="16">
        <f>'86 SOEC 100MW'!F15/'86 SOEC 100MW'!F9</f>
        <v>0.89023274954733522</v>
      </c>
      <c r="K39" s="45"/>
      <c r="L39" s="16"/>
      <c r="M39" s="16">
        <v>0.94</v>
      </c>
      <c r="N39" s="16">
        <v>0.46</v>
      </c>
      <c r="O39" s="16">
        <v>25</v>
      </c>
      <c r="P39">
        <v>31.536000000000001</v>
      </c>
      <c r="Q39" s="26">
        <f>'86 SOEC 100MW'!F25/SUP_H2!J39</f>
        <v>561.65087192561668</v>
      </c>
      <c r="R39" s="26">
        <f t="shared" si="1"/>
        <v>67.398104631074006</v>
      </c>
      <c r="S39" s="16"/>
      <c r="V39" s="16"/>
      <c r="W39" s="16"/>
      <c r="X39" s="16"/>
      <c r="Y39" s="16"/>
    </row>
    <row r="40" spans="2:25" x14ac:dyDescent="0.25">
      <c r="B40" s="44"/>
      <c r="C40" s="44"/>
      <c r="E40" s="44"/>
      <c r="F40" s="44"/>
      <c r="G40" s="44" t="s">
        <v>103</v>
      </c>
      <c r="H40">
        <v>2050</v>
      </c>
      <c r="I40" s="16"/>
      <c r="J40" s="16"/>
      <c r="K40" s="79"/>
      <c r="L40" s="16">
        <f>'86 SOEC 100MW'!F17/'86 SOEC 100MW'!F15</f>
        <v>0.14803842811455245</v>
      </c>
      <c r="M40" s="16"/>
      <c r="N40" s="16"/>
      <c r="O40" s="16" t="s">
        <v>104</v>
      </c>
      <c r="P40" s="16"/>
      <c r="Q40" s="16"/>
      <c r="R40" s="16"/>
      <c r="S40" s="16"/>
      <c r="V40" s="16"/>
      <c r="W40" s="16"/>
      <c r="X40" s="16"/>
      <c r="Y40" s="16"/>
    </row>
    <row r="41" spans="2:25" ht="13.8" thickBot="1" x14ac:dyDescent="0.3">
      <c r="B41" s="44"/>
      <c r="C41" s="44"/>
      <c r="D41" s="44" t="s">
        <v>593</v>
      </c>
      <c r="E41" s="44"/>
      <c r="F41" s="44"/>
      <c r="G41" s="44"/>
      <c r="H41">
        <v>2050</v>
      </c>
      <c r="I41" s="16"/>
      <c r="J41" s="16"/>
      <c r="K41" s="79">
        <f>'86 SOEC 100MW'!F12/'86 SOEC 100MW'!F15</f>
        <v>0.25667582844757902</v>
      </c>
      <c r="L41" s="16"/>
      <c r="M41" s="16"/>
      <c r="N41" s="16"/>
      <c r="O41" s="16"/>
      <c r="P41" s="16"/>
      <c r="Q41" s="16"/>
      <c r="R41" s="16"/>
      <c r="S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45" spans="2:25" x14ac:dyDescent="0.25">
      <c r="J45" s="29" t="s">
        <v>373</v>
      </c>
    </row>
    <row r="46" spans="2:25" ht="21.6" thickBot="1" x14ac:dyDescent="0.3">
      <c r="J46" s="31" t="s">
        <v>375</v>
      </c>
    </row>
    <row r="47" spans="2:25" ht="13.8" thickBot="1" x14ac:dyDescent="0.3">
      <c r="J47" s="31" t="s">
        <v>120</v>
      </c>
    </row>
    <row r="48" spans="2:25" x14ac:dyDescent="0.25">
      <c r="J48" s="45">
        <v>3</v>
      </c>
    </row>
    <row r="49" spans="10:21" x14ac:dyDescent="0.25">
      <c r="J49" s="44"/>
    </row>
    <row r="50" spans="10:21" x14ac:dyDescent="0.25">
      <c r="J50">
        <v>3</v>
      </c>
      <c r="R50" s="356">
        <v>33000</v>
      </c>
      <c r="S50" s="356" t="s">
        <v>566</v>
      </c>
    </row>
    <row r="51" spans="10:21" x14ac:dyDescent="0.25">
      <c r="P51" t="s">
        <v>567</v>
      </c>
      <c r="T51" s="16">
        <v>1</v>
      </c>
      <c r="U51" s="284" t="s">
        <v>562</v>
      </c>
    </row>
    <row r="52" spans="10:21" x14ac:dyDescent="0.25">
      <c r="J52">
        <v>3</v>
      </c>
      <c r="P52">
        <v>1</v>
      </c>
      <c r="Q52" t="s">
        <v>568</v>
      </c>
      <c r="R52">
        <f>R50/P54</f>
        <v>1494.8901935203305</v>
      </c>
      <c r="S52" t="s">
        <v>570</v>
      </c>
      <c r="T52" s="16">
        <v>3.5999999999999999E-3</v>
      </c>
      <c r="U52" s="284" t="s">
        <v>421</v>
      </c>
    </row>
    <row r="53" spans="10:21" x14ac:dyDescent="0.25">
      <c r="P53">
        <f>P52*0.7*8760</f>
        <v>6132</v>
      </c>
      <c r="Q53" t="s">
        <v>569</v>
      </c>
    </row>
    <row r="54" spans="10:21" x14ac:dyDescent="0.25">
      <c r="J54">
        <v>3</v>
      </c>
      <c r="P54">
        <f>P53*T52</f>
        <v>22.075199999999999</v>
      </c>
      <c r="Q54" t="s">
        <v>421</v>
      </c>
    </row>
    <row r="55" spans="10:21" ht="13.8" thickBot="1" x14ac:dyDescent="0.3">
      <c r="J55" s="16"/>
    </row>
    <row r="56" spans="10:21" x14ac:dyDescent="0.25">
      <c r="J56" s="127">
        <v>3</v>
      </c>
    </row>
    <row r="57" spans="10:21" x14ac:dyDescent="0.25">
      <c r="J57" s="16"/>
    </row>
    <row r="58" spans="10:21" x14ac:dyDescent="0.25">
      <c r="J58" s="16">
        <v>3</v>
      </c>
    </row>
    <row r="59" spans="10:21" x14ac:dyDescent="0.25">
      <c r="J59" s="16"/>
    </row>
    <row r="60" spans="10:21" x14ac:dyDescent="0.25">
      <c r="J60" s="16">
        <v>3</v>
      </c>
    </row>
    <row r="61" spans="10:21" x14ac:dyDescent="0.25">
      <c r="J61" s="16"/>
    </row>
    <row r="62" spans="10:21" x14ac:dyDescent="0.25">
      <c r="J62" s="16">
        <v>3</v>
      </c>
    </row>
    <row r="63" spans="10:21" ht="13.8" thickBot="1" x14ac:dyDescent="0.3">
      <c r="J63" s="16"/>
    </row>
    <row r="64" spans="10:21" x14ac:dyDescent="0.25">
      <c r="J64" s="127">
        <v>0.33</v>
      </c>
    </row>
    <row r="65" spans="10:10" x14ac:dyDescent="0.25">
      <c r="J65" s="16"/>
    </row>
    <row r="66" spans="10:10" x14ac:dyDescent="0.25">
      <c r="J66" s="16"/>
    </row>
    <row r="67" spans="10:10" x14ac:dyDescent="0.25">
      <c r="J67" s="16">
        <v>0.33</v>
      </c>
    </row>
    <row r="68" spans="10:10" x14ac:dyDescent="0.25">
      <c r="J68" s="16"/>
    </row>
    <row r="69" spans="10:10" x14ac:dyDescent="0.25">
      <c r="J69" s="16"/>
    </row>
    <row r="70" spans="10:10" x14ac:dyDescent="0.25">
      <c r="J70" s="16">
        <v>0.33</v>
      </c>
    </row>
    <row r="71" spans="10:10" x14ac:dyDescent="0.25">
      <c r="J71" s="16"/>
    </row>
    <row r="72" spans="10:10" x14ac:dyDescent="0.25">
      <c r="J72" s="16"/>
    </row>
    <row r="73" spans="10:10" x14ac:dyDescent="0.25">
      <c r="J73" s="16">
        <v>0.33</v>
      </c>
    </row>
    <row r="74" spans="10:10" x14ac:dyDescent="0.25">
      <c r="J74" s="16"/>
    </row>
    <row r="75" spans="10:10" x14ac:dyDescent="0.25">
      <c r="J75" s="16"/>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X15"/>
  <sheetViews>
    <sheetView zoomScale="66" workbookViewId="0">
      <selection activeCell="G40" sqref="G40"/>
    </sheetView>
  </sheetViews>
  <sheetFormatPr defaultRowHeight="13.2" x14ac:dyDescent="0.25"/>
  <cols>
    <col min="1" max="1" width="3" style="16" customWidth="1"/>
    <col min="2" max="2" width="15.109375" bestFit="1" customWidth="1"/>
    <col min="3" max="3" width="35" bestFit="1" customWidth="1"/>
    <col min="4" max="4" width="35" customWidth="1"/>
    <col min="5" max="5" width="14.6640625" bestFit="1" customWidth="1"/>
    <col min="6" max="6" width="16" bestFit="1" customWidth="1"/>
    <col min="7" max="7" width="16" customWidth="1"/>
    <col min="8" max="8" width="8.109375" bestFit="1" customWidth="1"/>
    <col min="9" max="9" width="14.44140625" bestFit="1" customWidth="1"/>
    <col min="10" max="10" width="14.44140625" customWidth="1"/>
    <col min="11" max="11" width="14.88671875" bestFit="1" customWidth="1"/>
    <col min="12" max="12" width="15.5546875" bestFit="1" customWidth="1"/>
    <col min="13" max="13" width="15.109375" bestFit="1" customWidth="1"/>
    <col min="14" max="14" width="13.88671875" bestFit="1" customWidth="1"/>
    <col min="15" max="15" width="14.109375" bestFit="1" customWidth="1"/>
    <col min="16" max="16" width="3" style="16" customWidth="1"/>
    <col min="17" max="17" width="16.88671875" bestFit="1" customWidth="1"/>
    <col min="18" max="18" width="14.33203125" bestFit="1" customWidth="1"/>
    <col min="19" max="19" width="78.88671875" bestFit="1" customWidth="1"/>
    <col min="21" max="21" width="16.109375" customWidth="1"/>
    <col min="22" max="22" width="15.5546875" customWidth="1"/>
  </cols>
  <sheetData>
    <row r="1" spans="2:24" x14ac:dyDescent="0.25">
      <c r="Q1" s="27" t="s">
        <v>14</v>
      </c>
      <c r="R1" s="28"/>
      <c r="S1" s="28"/>
      <c r="T1" s="28"/>
      <c r="U1" s="28"/>
      <c r="V1" s="28"/>
      <c r="W1" s="28"/>
      <c r="X1" s="28"/>
    </row>
    <row r="2" spans="2:24" x14ac:dyDescent="0.25">
      <c r="Q2" s="29" t="s">
        <v>7</v>
      </c>
      <c r="R2" s="29" t="s">
        <v>0</v>
      </c>
      <c r="S2" s="29" t="s">
        <v>3</v>
      </c>
      <c r="T2" s="29" t="s">
        <v>4</v>
      </c>
      <c r="U2" s="29" t="s">
        <v>8</v>
      </c>
      <c r="V2" s="29" t="s">
        <v>9</v>
      </c>
      <c r="W2" s="29" t="s">
        <v>10</v>
      </c>
      <c r="X2" s="29" t="s">
        <v>12</v>
      </c>
    </row>
    <row r="3" spans="2:24" ht="21.6" thickBot="1" x14ac:dyDescent="0.3">
      <c r="Q3" s="31" t="s">
        <v>34</v>
      </c>
      <c r="R3" s="31" t="s">
        <v>26</v>
      </c>
      <c r="S3" s="31" t="s">
        <v>27</v>
      </c>
      <c r="T3" s="31" t="s">
        <v>4</v>
      </c>
      <c r="U3" s="31" t="s">
        <v>37</v>
      </c>
      <c r="V3" s="31" t="s">
        <v>38</v>
      </c>
      <c r="W3" s="31" t="s">
        <v>28</v>
      </c>
      <c r="X3" s="31" t="s">
        <v>29</v>
      </c>
    </row>
    <row r="4" spans="2:24" x14ac:dyDescent="0.25">
      <c r="Q4" s="28" t="s">
        <v>44</v>
      </c>
      <c r="R4" s="62" t="s">
        <v>857</v>
      </c>
      <c r="S4" s="62" t="s">
        <v>858</v>
      </c>
      <c r="T4" t="s">
        <v>45</v>
      </c>
      <c r="U4" s="28"/>
      <c r="V4" s="61" t="s">
        <v>164</v>
      </c>
      <c r="W4" s="28"/>
      <c r="X4" s="28"/>
    </row>
    <row r="10" spans="2:24" x14ac:dyDescent="0.25">
      <c r="B10" s="48" t="s">
        <v>13</v>
      </c>
      <c r="Q10" s="27" t="s">
        <v>15</v>
      </c>
      <c r="R10" s="28"/>
      <c r="S10" s="28"/>
      <c r="T10" s="28"/>
      <c r="U10" s="28"/>
      <c r="V10" s="28"/>
      <c r="W10" s="28"/>
      <c r="X10" s="28"/>
    </row>
    <row r="11" spans="2:24" x14ac:dyDescent="0.25">
      <c r="B11" s="29" t="s">
        <v>1</v>
      </c>
      <c r="C11" s="29" t="s">
        <v>2</v>
      </c>
      <c r="D11" s="29" t="s">
        <v>157</v>
      </c>
      <c r="E11" s="29" t="s">
        <v>5</v>
      </c>
      <c r="F11" s="29" t="s">
        <v>6</v>
      </c>
      <c r="G11" s="29" t="s">
        <v>68</v>
      </c>
      <c r="H11" s="29" t="s">
        <v>50</v>
      </c>
      <c r="I11" s="29" t="s">
        <v>57</v>
      </c>
      <c r="J11" s="29" t="s">
        <v>106</v>
      </c>
      <c r="K11" s="29" t="s">
        <v>109</v>
      </c>
      <c r="L11" s="29" t="s">
        <v>70</v>
      </c>
      <c r="M11" s="29" t="s">
        <v>48</v>
      </c>
      <c r="N11" s="29" t="s">
        <v>49</v>
      </c>
      <c r="O11" s="29" t="s">
        <v>64</v>
      </c>
      <c r="Q11" s="29" t="s">
        <v>11</v>
      </c>
      <c r="R11" s="29" t="s">
        <v>1</v>
      </c>
      <c r="S11" s="29" t="s">
        <v>2</v>
      </c>
      <c r="T11" s="29" t="s">
        <v>16</v>
      </c>
      <c r="U11" s="29" t="s">
        <v>17</v>
      </c>
      <c r="V11" s="29" t="s">
        <v>18</v>
      </c>
      <c r="W11" s="29" t="s">
        <v>19</v>
      </c>
      <c r="X11" s="29" t="s">
        <v>20</v>
      </c>
    </row>
    <row r="12" spans="2:24" ht="31.8" thickBot="1" x14ac:dyDescent="0.3">
      <c r="B12" s="31" t="s">
        <v>110</v>
      </c>
      <c r="C12" s="31" t="s">
        <v>22</v>
      </c>
      <c r="D12" s="31" t="s">
        <v>158</v>
      </c>
      <c r="E12" s="31" t="s">
        <v>32</v>
      </c>
      <c r="F12" s="31" t="s">
        <v>33</v>
      </c>
      <c r="G12" s="31"/>
      <c r="H12" s="31" t="s">
        <v>52</v>
      </c>
      <c r="I12" s="31" t="s">
        <v>114</v>
      </c>
      <c r="J12" s="31" t="s">
        <v>112</v>
      </c>
      <c r="K12" s="31" t="s">
        <v>115</v>
      </c>
      <c r="L12" s="31" t="s">
        <v>66</v>
      </c>
      <c r="M12" s="31" t="s">
        <v>116</v>
      </c>
      <c r="N12" s="31" t="s">
        <v>55</v>
      </c>
      <c r="O12" s="31" t="s">
        <v>65</v>
      </c>
      <c r="Q12" s="31" t="s">
        <v>35</v>
      </c>
      <c r="R12" s="31" t="s">
        <v>21</v>
      </c>
      <c r="S12" s="31" t="s">
        <v>22</v>
      </c>
      <c r="T12" s="31" t="s">
        <v>23</v>
      </c>
      <c r="U12" s="31" t="s">
        <v>24</v>
      </c>
      <c r="V12" s="31" t="s">
        <v>40</v>
      </c>
      <c r="W12" s="31" t="s">
        <v>39</v>
      </c>
      <c r="X12" s="31" t="s">
        <v>25</v>
      </c>
    </row>
    <row r="13" spans="2:24" ht="21.6" thickBot="1" x14ac:dyDescent="0.3">
      <c r="B13" s="31" t="s">
        <v>117</v>
      </c>
      <c r="C13" s="31"/>
      <c r="D13" s="31"/>
      <c r="E13" s="31"/>
      <c r="F13" s="31"/>
      <c r="G13" s="31"/>
      <c r="H13" s="31" t="s">
        <v>118</v>
      </c>
      <c r="I13" s="31"/>
      <c r="J13" s="31" t="s">
        <v>161</v>
      </c>
      <c r="K13" s="31" t="s">
        <v>120</v>
      </c>
      <c r="L13" s="31"/>
      <c r="M13" s="31" t="s">
        <v>881</v>
      </c>
      <c r="N13" s="31" t="s">
        <v>882</v>
      </c>
      <c r="O13" s="31" t="s">
        <v>163</v>
      </c>
      <c r="Q13" s="31" t="s">
        <v>47</v>
      </c>
      <c r="R13" s="31"/>
      <c r="S13" s="31"/>
      <c r="T13" s="31"/>
      <c r="U13" s="31"/>
      <c r="V13" s="31"/>
      <c r="W13" s="31"/>
      <c r="X13" s="31"/>
    </row>
    <row r="14" spans="2:24" x14ac:dyDescent="0.25">
      <c r="B14" s="44" t="s">
        <v>121</v>
      </c>
      <c r="C14" s="44" t="s">
        <v>856</v>
      </c>
      <c r="D14" s="44"/>
      <c r="E14" s="44" t="s">
        <v>122</v>
      </c>
      <c r="F14" s="62" t="s">
        <v>857</v>
      </c>
      <c r="G14" s="57">
        <v>2030</v>
      </c>
      <c r="H14" s="44">
        <f>1-0.021</f>
        <v>0.97899999999999998</v>
      </c>
      <c r="I14" s="49">
        <v>0.75</v>
      </c>
      <c r="J14" s="49"/>
      <c r="K14" s="44">
        <v>25</v>
      </c>
      <c r="L14" s="16">
        <v>31.536000000000001</v>
      </c>
      <c r="M14" s="44">
        <f>48</f>
        <v>48</v>
      </c>
      <c r="N14" s="44">
        <f>0.04*M14</f>
        <v>1.92</v>
      </c>
      <c r="O14" s="44"/>
      <c r="Q14" s="32" t="s">
        <v>60</v>
      </c>
      <c r="R14" s="44" t="s">
        <v>121</v>
      </c>
      <c r="S14" s="44" t="s">
        <v>856</v>
      </c>
      <c r="T14" s="44" t="s">
        <v>45</v>
      </c>
      <c r="U14" s="44" t="s">
        <v>62</v>
      </c>
      <c r="V14" s="44" t="s">
        <v>164</v>
      </c>
      <c r="W14" s="44"/>
      <c r="X14" s="44" t="s">
        <v>177</v>
      </c>
    </row>
    <row r="15" spans="2:24" x14ac:dyDescent="0.25">
      <c r="D15" s="62" t="s">
        <v>41</v>
      </c>
      <c r="J15">
        <v>3.15E-2</v>
      </c>
    </row>
  </sheetData>
  <pageMargins left="0.7" right="0.7" top="0.75" bottom="0.75" header="0.3" footer="0.3"/>
  <drawing r:id="rId1"/>
  <legacyDrawing r:id="rId2"/>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0"/>
  <sheetViews>
    <sheetView topLeftCell="A6" zoomScale="53" zoomScaleNormal="80" workbookViewId="0">
      <selection activeCell="O37" sqref="O37"/>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153</v>
      </c>
      <c r="W4" t="s">
        <v>154</v>
      </c>
      <c r="X4" t="s">
        <v>45</v>
      </c>
      <c r="Y4" s="28"/>
      <c r="Z4" s="61" t="s">
        <v>164</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157</v>
      </c>
      <c r="E11" s="29" t="s">
        <v>5</v>
      </c>
      <c r="F11" s="29" t="s">
        <v>6</v>
      </c>
      <c r="G11" s="29" t="s">
        <v>105</v>
      </c>
      <c r="H11" s="29" t="s">
        <v>61</v>
      </c>
      <c r="I11" s="29" t="s">
        <v>68</v>
      </c>
      <c r="J11" s="29" t="s">
        <v>50</v>
      </c>
      <c r="K11" s="29" t="s">
        <v>106</v>
      </c>
      <c r="L11" s="29" t="s">
        <v>107</v>
      </c>
      <c r="M11" s="29" t="s">
        <v>57</v>
      </c>
      <c r="N11" s="29" t="s">
        <v>109</v>
      </c>
      <c r="O11" s="29" t="s">
        <v>70</v>
      </c>
      <c r="P11" s="29" t="s">
        <v>48</v>
      </c>
      <c r="Q11" s="29" t="s">
        <v>49</v>
      </c>
      <c r="R11" s="29" t="s">
        <v>64</v>
      </c>
      <c r="U11" s="29" t="s">
        <v>11</v>
      </c>
      <c r="V11" s="29" t="s">
        <v>1</v>
      </c>
      <c r="W11" s="29" t="s">
        <v>2</v>
      </c>
      <c r="X11" s="29" t="s">
        <v>16</v>
      </c>
      <c r="Y11" s="29" t="s">
        <v>17</v>
      </c>
      <c r="Z11" s="29" t="s">
        <v>18</v>
      </c>
      <c r="AA11" s="29" t="s">
        <v>19</v>
      </c>
      <c r="AB11" s="29" t="s">
        <v>20</v>
      </c>
    </row>
    <row r="12" spans="2:28" ht="31.8" thickBot="1" x14ac:dyDescent="0.3">
      <c r="B12" s="31" t="s">
        <v>110</v>
      </c>
      <c r="C12" s="31" t="s">
        <v>22</v>
      </c>
      <c r="D12" s="31" t="s">
        <v>158</v>
      </c>
      <c r="E12" s="31" t="s">
        <v>32</v>
      </c>
      <c r="F12" s="31" t="s">
        <v>33</v>
      </c>
      <c r="G12" s="31" t="s">
        <v>111</v>
      </c>
      <c r="H12" s="31"/>
      <c r="I12" s="31"/>
      <c r="J12" s="31" t="s">
        <v>159</v>
      </c>
      <c r="K12" s="31" t="s">
        <v>112</v>
      </c>
      <c r="L12" s="31" t="s">
        <v>113</v>
      </c>
      <c r="M12" s="31" t="s">
        <v>114</v>
      </c>
      <c r="N12" s="31" t="s">
        <v>115</v>
      </c>
      <c r="O12" s="31" t="s">
        <v>66</v>
      </c>
      <c r="P12" s="31" t="s">
        <v>116</v>
      </c>
      <c r="Q12" s="31" t="s">
        <v>55</v>
      </c>
      <c r="R12" s="31" t="s">
        <v>65</v>
      </c>
      <c r="U12" s="31" t="s">
        <v>35</v>
      </c>
      <c r="V12" s="31" t="s">
        <v>21</v>
      </c>
      <c r="W12" s="31" t="s">
        <v>22</v>
      </c>
      <c r="X12" s="31" t="s">
        <v>23</v>
      </c>
      <c r="Y12" s="31" t="s">
        <v>24</v>
      </c>
      <c r="Z12" s="31" t="s">
        <v>40</v>
      </c>
      <c r="AA12" s="31" t="s">
        <v>39</v>
      </c>
      <c r="AB12" s="31" t="s">
        <v>25</v>
      </c>
    </row>
    <row r="13" spans="2:28" ht="13.8" thickBot="1" x14ac:dyDescent="0.3">
      <c r="B13" s="31" t="s">
        <v>117</v>
      </c>
      <c r="C13" s="31"/>
      <c r="D13" s="31"/>
      <c r="E13" s="31"/>
      <c r="F13" s="31"/>
      <c r="G13" s="31"/>
      <c r="H13" s="31"/>
      <c r="I13" s="31"/>
      <c r="J13" s="31" t="s">
        <v>160</v>
      </c>
      <c r="K13" s="31" t="s">
        <v>161</v>
      </c>
      <c r="L13" s="31" t="s">
        <v>161</v>
      </c>
      <c r="M13" s="31" t="s">
        <v>162</v>
      </c>
      <c r="N13" s="31" t="s">
        <v>120</v>
      </c>
      <c r="O13" s="31" t="s">
        <v>165</v>
      </c>
      <c r="P13" s="131" t="s">
        <v>169</v>
      </c>
      <c r="Q13" s="131" t="s">
        <v>169</v>
      </c>
      <c r="R13" s="31" t="s">
        <v>170</v>
      </c>
      <c r="U13" s="31" t="s">
        <v>47</v>
      </c>
      <c r="V13" s="31"/>
      <c r="W13" s="31"/>
      <c r="X13" s="31"/>
      <c r="Y13" s="31"/>
      <c r="Z13" s="31"/>
      <c r="AA13" s="31"/>
      <c r="AB13" s="31"/>
    </row>
    <row r="14" spans="2:28" x14ac:dyDescent="0.25">
      <c r="B14" s="57" t="s">
        <v>155</v>
      </c>
      <c r="C14" s="57" t="s">
        <v>156</v>
      </c>
      <c r="D14" s="57"/>
      <c r="E14" s="57" t="s">
        <v>122</v>
      </c>
      <c r="F14" s="57" t="s">
        <v>153</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U14" s="32" t="s">
        <v>589</v>
      </c>
      <c r="V14" s="43" t="s">
        <v>155</v>
      </c>
      <c r="W14" s="43" t="s">
        <v>156</v>
      </c>
      <c r="X14" s="43" t="s">
        <v>45</v>
      </c>
      <c r="Y14" s="43" t="s">
        <v>62</v>
      </c>
      <c r="Z14" s="44" t="s">
        <v>164</v>
      </c>
      <c r="AA14" s="44" t="s">
        <v>153</v>
      </c>
      <c r="AB14" s="43" t="s">
        <v>177</v>
      </c>
    </row>
    <row r="15" spans="2:28" x14ac:dyDescent="0.25">
      <c r="D15" s="44" t="s">
        <v>41</v>
      </c>
      <c r="E15" s="44"/>
      <c r="F15" s="44"/>
      <c r="G15" s="44" t="s">
        <v>103</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row>
    <row r="16" spans="2:28" x14ac:dyDescent="0.25">
      <c r="D16" s="44"/>
      <c r="E16" s="44" t="s">
        <v>122</v>
      </c>
      <c r="F16" s="44" t="s">
        <v>153</v>
      </c>
      <c r="G16" s="44"/>
      <c r="H16">
        <v>2030</v>
      </c>
      <c r="J16" s="130">
        <f>J14</f>
        <v>0.86899999999999999</v>
      </c>
      <c r="K16" s="47"/>
      <c r="L16" s="47"/>
      <c r="M16" s="45">
        <f>1-SUM('103 Hydrogen to Ammonia'!$D$19:$D$20)</f>
        <v>0.94</v>
      </c>
      <c r="N16" s="46">
        <f>N14</f>
        <v>30</v>
      </c>
      <c r="O16" s="16">
        <v>31.536000000000001</v>
      </c>
      <c r="P16" s="45">
        <f>'103 Hydrogen to Ammonia'!D25*1000</f>
        <v>1379.6859290771877</v>
      </c>
      <c r="Q16" s="26">
        <f>'103 Hydrogen to Ammonia'!D28</f>
        <v>41.390577872315625</v>
      </c>
      <c r="R16" s="26">
        <f>'103 Hydrogen to Ammonia'!D29/(0.0000036*1000000)</f>
        <v>5.9077777777777783E-3</v>
      </c>
    </row>
    <row r="17" spans="2:27" x14ac:dyDescent="0.25">
      <c r="D17" s="44" t="s">
        <v>41</v>
      </c>
      <c r="E17" s="44"/>
      <c r="F17" s="44"/>
      <c r="G17" s="44" t="s">
        <v>103</v>
      </c>
      <c r="H17">
        <v>2030</v>
      </c>
      <c r="J17" s="130"/>
      <c r="K17" s="130">
        <f>K15</f>
        <v>7.0194410692588111E-2</v>
      </c>
      <c r="L17" s="130">
        <f>L15</f>
        <v>0.17699999999999999</v>
      </c>
      <c r="M17" s="45"/>
      <c r="N17" s="46"/>
      <c r="O17" s="16"/>
      <c r="P17" s="45"/>
      <c r="Q17" s="26"/>
      <c r="R17" s="26"/>
      <c r="V17" s="55"/>
      <c r="W17" s="55"/>
    </row>
    <row r="18" spans="2:27" x14ac:dyDescent="0.25">
      <c r="D18" s="44"/>
      <c r="E18" s="44" t="str">
        <f>E16</f>
        <v>H2</v>
      </c>
      <c r="F18" s="44" t="str">
        <f>F16</f>
        <v>AMM</v>
      </c>
      <c r="G18" s="44"/>
      <c r="H18">
        <v>2040</v>
      </c>
      <c r="J18" s="130">
        <f>J16</f>
        <v>0.86899999999999999</v>
      </c>
      <c r="K18" s="47"/>
      <c r="L18" s="47"/>
      <c r="M18" s="45">
        <f>1-SUM('103 Hydrogen to Ammonia'!$E$19:$E$20)</f>
        <v>0.94</v>
      </c>
      <c r="N18" s="46">
        <f>N16</f>
        <v>30</v>
      </c>
      <c r="O18" s="16">
        <v>31.536000000000001</v>
      </c>
      <c r="P18" s="45">
        <f>'103 Hydrogen to Ammonia'!E25*1000</f>
        <v>1128.4479615554369</v>
      </c>
      <c r="Q18" s="26">
        <f>'103 Hydrogen to Ammonia'!E28</f>
        <v>33.853438846663103</v>
      </c>
      <c r="R18" s="26">
        <f>'103 Hydrogen to Ammonia'!E29/(0.0000036*1000000)</f>
        <v>5.9077777777777783E-3</v>
      </c>
      <c r="V18" s="55"/>
      <c r="W18" s="55"/>
    </row>
    <row r="19" spans="2:27" x14ac:dyDescent="0.25">
      <c r="D19" s="44" t="s">
        <v>41</v>
      </c>
      <c r="E19" s="44"/>
      <c r="F19" s="44"/>
      <c r="G19" s="44" t="s">
        <v>103</v>
      </c>
      <c r="H19">
        <v>2040</v>
      </c>
      <c r="J19" s="130"/>
      <c r="K19" s="130">
        <f>K17</f>
        <v>7.0194410692588111E-2</v>
      </c>
      <c r="L19" s="130">
        <f>L17</f>
        <v>0.17699999999999999</v>
      </c>
      <c r="M19" s="45"/>
      <c r="N19" s="46"/>
      <c r="O19" s="16"/>
      <c r="P19" s="45"/>
      <c r="Q19" s="26"/>
      <c r="R19" s="26"/>
      <c r="U19" s="44"/>
      <c r="V19" s="55"/>
      <c r="W19" s="55"/>
    </row>
    <row r="20" spans="2:27" x14ac:dyDescent="0.25">
      <c r="D20" s="44"/>
      <c r="E20" s="44" t="str">
        <f>E18</f>
        <v>H2</v>
      </c>
      <c r="F20" s="44" t="str">
        <f>F18</f>
        <v>AMM</v>
      </c>
      <c r="G20" s="44"/>
      <c r="H20">
        <v>2050</v>
      </c>
      <c r="J20" s="130">
        <f>J18</f>
        <v>0.86899999999999999</v>
      </c>
      <c r="K20" s="47"/>
      <c r="L20" s="47"/>
      <c r="M20" s="45">
        <f>1-SUM('103 Hydrogen to Ammonia'!$F$19:$F$20)</f>
        <v>0.95</v>
      </c>
      <c r="N20" s="46">
        <f>N18</f>
        <v>30</v>
      </c>
      <c r="O20" s="16">
        <v>31.536000000000001</v>
      </c>
      <c r="P20" s="45">
        <f>'103 Hydrogen to Ammonia'!F25*1000</f>
        <v>865.12514262115735</v>
      </c>
      <c r="Q20" s="26">
        <f>'103 Hydrogen to Ammonia'!F28</f>
        <v>25.953754278634719</v>
      </c>
      <c r="R20" s="26">
        <f>'103 Hydrogen to Ammonia'!F29/(0.0000036*1000000)</f>
        <v>5.9077777777777783E-3</v>
      </c>
      <c r="U20" s="44"/>
      <c r="V20" s="55"/>
      <c r="W20" s="55"/>
    </row>
    <row r="21" spans="2:27" ht="13.8" thickBot="1" x14ac:dyDescent="0.3">
      <c r="D21" s="44" t="s">
        <v>41</v>
      </c>
      <c r="E21" s="44"/>
      <c r="F21" s="44"/>
      <c r="G21" s="44" t="s">
        <v>103</v>
      </c>
      <c r="H21">
        <v>2050</v>
      </c>
      <c r="J21" s="130"/>
      <c r="K21" s="130">
        <f>K19</f>
        <v>7.0194410692588111E-2</v>
      </c>
      <c r="L21" s="130">
        <f>L19</f>
        <v>0.17699999999999999</v>
      </c>
      <c r="M21" s="45"/>
      <c r="N21" s="47"/>
      <c r="U21" s="44"/>
      <c r="V21" s="55"/>
      <c r="W21" s="55"/>
    </row>
    <row r="22" spans="2:27" x14ac:dyDescent="0.25">
      <c r="K22" s="47"/>
      <c r="M22" s="60"/>
      <c r="U22" s="44"/>
      <c r="V22" s="56"/>
      <c r="W22" s="56"/>
    </row>
    <row r="23" spans="2:27" x14ac:dyDescent="0.25">
      <c r="U23" s="44"/>
      <c r="V23" s="55"/>
      <c r="W23" s="55"/>
    </row>
    <row r="24" spans="2:27" x14ac:dyDescent="0.25">
      <c r="B24" s="44"/>
      <c r="C24" s="44"/>
      <c r="M24" s="45"/>
      <c r="N24" s="46"/>
      <c r="O24" s="47"/>
      <c r="P24" s="45"/>
      <c r="Q24" s="45"/>
      <c r="R24" s="63"/>
      <c r="S24" s="63"/>
      <c r="U24" s="44"/>
      <c r="V24" s="55"/>
      <c r="W24" s="55"/>
    </row>
    <row r="25" spans="2:27" x14ac:dyDescent="0.25">
      <c r="B25" s="44"/>
      <c r="C25" s="44"/>
      <c r="D25" s="44"/>
      <c r="E25" s="44"/>
      <c r="F25" s="44"/>
      <c r="G25" s="44"/>
      <c r="H25" s="44"/>
      <c r="I25" s="44"/>
      <c r="J25" s="44"/>
      <c r="K25" s="44"/>
      <c r="L25" s="44"/>
      <c r="M25" s="44"/>
      <c r="N25" s="44"/>
      <c r="O25" s="44"/>
      <c r="P25" s="44"/>
      <c r="Q25" s="44"/>
      <c r="R25" s="44"/>
      <c r="S25" s="44"/>
      <c r="U25" s="44"/>
      <c r="V25" s="44"/>
      <c r="W25" s="44"/>
      <c r="X25" s="44"/>
      <c r="Y25" s="44"/>
      <c r="Z25" s="44"/>
      <c r="AA25" s="44"/>
    </row>
    <row r="26" spans="2:27" x14ac:dyDescent="0.25">
      <c r="B26" s="44"/>
      <c r="C26" s="44"/>
      <c r="D26" s="44"/>
      <c r="E26" s="44"/>
      <c r="F26" s="44"/>
      <c r="G26" s="44"/>
      <c r="H26" s="44"/>
      <c r="I26" s="44"/>
      <c r="J26" s="44"/>
      <c r="K26" s="44"/>
      <c r="L26" s="44"/>
      <c r="M26" s="44"/>
      <c r="N26" s="44"/>
      <c r="O26" s="44"/>
      <c r="P26" s="44"/>
      <c r="Q26" s="44"/>
      <c r="R26" s="44"/>
      <c r="S26" s="44"/>
      <c r="U26" s="44"/>
      <c r="V26" s="44"/>
      <c r="W26" s="44"/>
      <c r="X26" s="44"/>
      <c r="Y26" s="44"/>
      <c r="Z26" s="44"/>
      <c r="AA26" s="44"/>
    </row>
    <row r="27" spans="2:27" x14ac:dyDescent="0.25">
      <c r="B27" s="44"/>
      <c r="C27" s="44"/>
      <c r="D27" s="44"/>
      <c r="E27" s="44"/>
      <c r="F27" s="44"/>
      <c r="G27" s="44"/>
      <c r="H27" s="44"/>
      <c r="I27" s="44"/>
      <c r="J27" s="44"/>
      <c r="K27" s="44"/>
      <c r="L27" s="44"/>
      <c r="M27" s="44"/>
      <c r="N27" s="44"/>
      <c r="O27" s="44"/>
      <c r="P27" s="44"/>
      <c r="Q27" s="44"/>
      <c r="R27" s="44"/>
      <c r="S27" s="44"/>
      <c r="U27" s="44"/>
      <c r="V27" s="44"/>
      <c r="W27" s="44"/>
      <c r="X27" s="44"/>
      <c r="Y27" s="44"/>
      <c r="Z27" s="44"/>
      <c r="AA27" s="44"/>
    </row>
    <row r="28" spans="2:27" x14ac:dyDescent="0.25">
      <c r="B28" s="44"/>
      <c r="C28" s="44"/>
      <c r="D28" s="44"/>
      <c r="E28" s="44"/>
      <c r="F28" s="44"/>
      <c r="G28" s="44"/>
      <c r="H28" s="44"/>
      <c r="I28" s="44"/>
      <c r="J28" s="29" t="s">
        <v>373</v>
      </c>
      <c r="K28" s="44"/>
      <c r="L28" s="44"/>
      <c r="M28" s="44"/>
      <c r="N28" s="44"/>
      <c r="V28" s="16"/>
      <c r="X28" s="44"/>
      <c r="Y28" s="44"/>
      <c r="Z28" s="44"/>
      <c r="AA28" s="44"/>
    </row>
    <row r="29" spans="2:27" ht="21.6" thickBot="1" x14ac:dyDescent="0.3">
      <c r="B29" s="44"/>
      <c r="C29" s="44"/>
      <c r="D29" s="44"/>
      <c r="E29" s="44"/>
      <c r="F29" s="44"/>
      <c r="G29" s="44"/>
      <c r="H29" s="44"/>
      <c r="I29" s="44"/>
      <c r="J29" s="31" t="s">
        <v>374</v>
      </c>
      <c r="K29" s="44"/>
      <c r="L29" s="44"/>
      <c r="M29" s="44"/>
      <c r="N29" s="44"/>
      <c r="V29" s="16"/>
      <c r="X29" s="44"/>
      <c r="Y29" s="44"/>
      <c r="Z29" s="44"/>
      <c r="AA29" s="44"/>
    </row>
    <row r="30" spans="2:27" x14ac:dyDescent="0.25">
      <c r="B30" s="44"/>
      <c r="C30" s="44"/>
      <c r="D30" s="44"/>
      <c r="E30" s="44"/>
      <c r="F30" s="44"/>
      <c r="G30" s="44"/>
      <c r="H30" s="44"/>
      <c r="I30" s="44"/>
      <c r="J30" s="131" t="s">
        <v>120</v>
      </c>
      <c r="K30" s="44"/>
      <c r="L30" s="44"/>
      <c r="M30" s="44"/>
      <c r="N30" s="44"/>
      <c r="V30" s="16"/>
      <c r="X30" s="44"/>
      <c r="Y30" s="44"/>
      <c r="Z30" s="44"/>
      <c r="AA30" s="44"/>
    </row>
    <row r="31" spans="2:27" x14ac:dyDescent="0.25">
      <c r="J31" s="26">
        <v>2</v>
      </c>
      <c r="S31" s="356">
        <v>40000</v>
      </c>
      <c r="T31" s="356" t="s">
        <v>566</v>
      </c>
      <c r="V31" s="16"/>
    </row>
    <row r="32" spans="2:27" x14ac:dyDescent="0.25">
      <c r="J32" s="26"/>
      <c r="Q32" t="s">
        <v>571</v>
      </c>
      <c r="U32" s="16">
        <v>1</v>
      </c>
      <c r="V32" s="284" t="s">
        <v>562</v>
      </c>
    </row>
    <row r="33" spans="10:22" x14ac:dyDescent="0.25">
      <c r="J33" s="26"/>
      <c r="Q33">
        <v>1</v>
      </c>
      <c r="R33" t="s">
        <v>568</v>
      </c>
      <c r="S33">
        <f>S31/Q35</f>
        <v>1691.1889058007778</v>
      </c>
      <c r="T33" t="s">
        <v>572</v>
      </c>
      <c r="U33" s="16">
        <v>3.5999999999999999E-3</v>
      </c>
      <c r="V33" s="284" t="s">
        <v>421</v>
      </c>
    </row>
    <row r="34" spans="10:22" x14ac:dyDescent="0.25">
      <c r="J34" s="26">
        <v>2</v>
      </c>
      <c r="Q34">
        <f>Q33*0.75*8760</f>
        <v>6570</v>
      </c>
      <c r="R34" t="s">
        <v>569</v>
      </c>
      <c r="V34" s="16"/>
    </row>
    <row r="35" spans="10:22" x14ac:dyDescent="0.25">
      <c r="J35" s="26"/>
      <c r="Q35">
        <f>Q34*U33</f>
        <v>23.652000000000001</v>
      </c>
      <c r="R35" t="s">
        <v>421</v>
      </c>
      <c r="V35" s="16"/>
    </row>
    <row r="36" spans="10:22" x14ac:dyDescent="0.25">
      <c r="J36" s="26"/>
      <c r="V36" s="16"/>
    </row>
    <row r="37" spans="10:22" x14ac:dyDescent="0.25">
      <c r="J37" s="26">
        <v>2</v>
      </c>
      <c r="V37" s="16"/>
    </row>
    <row r="38" spans="10:22" x14ac:dyDescent="0.25">
      <c r="J38" s="26"/>
      <c r="V38" s="16"/>
    </row>
    <row r="39" spans="10:22" x14ac:dyDescent="0.25">
      <c r="J39" s="26"/>
    </row>
    <row r="40" spans="10:22" x14ac:dyDescent="0.25">
      <c r="J40" s="26">
        <v>2</v>
      </c>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SUP_H2_Compressor</vt:lpstr>
      <vt:lpstr>SUP_Ammonia</vt:lpstr>
      <vt:lpstr>SUP_CO2</vt:lpstr>
      <vt:lpstr>SUP_METHANOL</vt:lpstr>
      <vt:lpstr>SUP_JETFUEL</vt:lpstr>
      <vt:lpstr>BOILER</vt:lpstr>
      <vt:lpstr>EXP</vt:lpstr>
      <vt:lpstr>DUMMYCOSTS</vt:lpstr>
      <vt:lpstr>86 AEC 1000 MW</vt:lpstr>
      <vt:lpstr>86 PEMEC 1000MW</vt:lpstr>
      <vt:lpstr>86 SOEC 100MW</vt:lpstr>
      <vt:lpstr>Data_H2_Compressor</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2024-03-13T18:03:22Z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